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munications\website\live files\"/>
    </mc:Choice>
  </mc:AlternateContent>
  <bookViews>
    <workbookView xWindow="240" yWindow="15" windowWidth="14670" windowHeight="7860"/>
  </bookViews>
  <sheets>
    <sheet name="Auction Results" sheetId="1" r:id="rId1"/>
    <sheet name="Sheet1" sheetId="2" state="hidden" r:id="rId2"/>
  </sheets>
  <calcPr calcId="152511"/>
</workbook>
</file>

<file path=xl/calcChain.xml><?xml version="1.0" encoding="utf-8"?>
<calcChain xmlns="http://schemas.openxmlformats.org/spreadsheetml/2006/main">
  <c r="K390" i="1" l="1"/>
  <c r="K391" i="1"/>
  <c r="K393" i="1" l="1"/>
  <c r="K395" i="1"/>
  <c r="K394" i="1"/>
  <c r="K392" i="1"/>
  <c r="K389" i="1" l="1"/>
  <c r="K387" i="1"/>
  <c r="K385" i="1"/>
  <c r="K377" i="1"/>
  <c r="K373" i="1"/>
  <c r="K388" i="1"/>
  <c r="K386" i="1"/>
  <c r="K384" i="1"/>
  <c r="K376" i="1"/>
  <c r="K383" i="1"/>
  <c r="K382" i="1"/>
  <c r="K381" i="1"/>
  <c r="K380" i="1"/>
  <c r="K379" i="1"/>
  <c r="K375" i="1"/>
  <c r="K371" i="1"/>
  <c r="K378" i="1"/>
  <c r="K374" i="1"/>
  <c r="K370" i="1"/>
  <c r="K369" i="1" l="1"/>
  <c r="K367" i="1"/>
  <c r="K365" i="1"/>
  <c r="K363" i="1"/>
  <c r="K361" i="1"/>
  <c r="K366" i="1"/>
  <c r="K362" i="1"/>
  <c r="K360" i="1"/>
  <c r="K358" i="1" l="1"/>
  <c r="K359" i="1"/>
  <c r="K357" i="1"/>
  <c r="K356" i="1"/>
  <c r="K355" i="1"/>
  <c r="K354" i="1"/>
  <c r="K353" i="1"/>
  <c r="K352" i="1"/>
  <c r="K351" i="1"/>
  <c r="K350" i="1"/>
  <c r="K348" i="1" l="1"/>
  <c r="K346" i="1"/>
  <c r="K347" i="1"/>
  <c r="K349" i="1"/>
  <c r="K345" i="1" l="1"/>
  <c r="K344" i="1"/>
  <c r="K342" i="1"/>
  <c r="K343" i="1"/>
  <c r="K341" i="1"/>
  <c r="K340" i="1"/>
  <c r="K339" i="1"/>
  <c r="K337" i="1"/>
  <c r="K335" i="1"/>
  <c r="K338" i="1"/>
  <c r="K336" i="1"/>
  <c r="K334" i="1"/>
  <c r="K332" i="1" l="1"/>
  <c r="K333" i="1"/>
  <c r="K331" i="1"/>
  <c r="K330" i="1"/>
  <c r="K329" i="1" l="1"/>
  <c r="K328" i="1"/>
  <c r="K327" i="1"/>
  <c r="K325" i="1"/>
  <c r="K324" i="1" l="1"/>
  <c r="K326" i="1"/>
  <c r="K323" i="1" l="1"/>
  <c r="K322" i="1"/>
  <c r="K321" i="1"/>
  <c r="K320" i="1"/>
  <c r="K319" i="1"/>
  <c r="K318" i="1"/>
  <c r="K317" i="1"/>
  <c r="K316" i="1"/>
  <c r="K311" i="1"/>
  <c r="K310" i="1"/>
  <c r="K315" i="1"/>
  <c r="K314" i="1"/>
  <c r="K312" i="1" l="1"/>
  <c r="K313" i="1"/>
  <c r="K309" i="1"/>
  <c r="K308" i="1"/>
  <c r="K307" i="1"/>
  <c r="K306" i="1"/>
  <c r="K305" i="1"/>
  <c r="K304" i="1"/>
  <c r="K301" i="1"/>
  <c r="K300" i="1"/>
  <c r="K303" i="1"/>
  <c r="K302" i="1"/>
  <c r="K299" i="1"/>
  <c r="K298" i="1"/>
  <c r="K297" i="1"/>
  <c r="K296" i="1"/>
  <c r="K295" i="1"/>
  <c r="K294" i="1"/>
  <c r="K293" i="1"/>
  <c r="K292" i="1"/>
  <c r="K290" i="1"/>
  <c r="K291" i="1"/>
  <c r="K287" i="1"/>
  <c r="K286" i="1"/>
  <c r="K288" i="1"/>
  <c r="K289" i="1"/>
  <c r="K285" i="1"/>
  <c r="K284" i="1"/>
  <c r="K280" i="1"/>
  <c r="K281" i="1"/>
  <c r="K283" i="1" l="1"/>
  <c r="K282" i="1"/>
  <c r="K275" i="1"/>
  <c r="K274" i="1"/>
  <c r="K273" i="1"/>
  <c r="K272" i="1"/>
  <c r="K269" i="1"/>
  <c r="K268" i="1"/>
  <c r="K270" i="1" l="1"/>
  <c r="K271" i="1"/>
  <c r="K267" i="1"/>
  <c r="K266" i="1"/>
  <c r="K264" i="1"/>
  <c r="K265" i="1"/>
  <c r="F265" i="1"/>
  <c r="F264" i="1"/>
  <c r="K263" i="1" l="1"/>
  <c r="F263" i="1"/>
  <c r="K262" i="1"/>
  <c r="F262" i="1"/>
  <c r="K261" i="1"/>
  <c r="K260" i="1"/>
  <c r="K259" i="1"/>
  <c r="K258" i="1"/>
  <c r="K256" i="1"/>
  <c r="K257" i="1" l="1"/>
  <c r="K255" i="1"/>
  <c r="K254" i="1"/>
  <c r="K253" i="1"/>
  <c r="K252" i="1"/>
  <c r="K251" i="1"/>
  <c r="K250" i="1"/>
  <c r="K248" i="1"/>
  <c r="K249" i="1"/>
  <c r="K245" i="1" l="1"/>
  <c r="K247" i="1"/>
  <c r="K246" i="1"/>
  <c r="K244" i="1"/>
  <c r="K242" i="1"/>
  <c r="K240" i="1" l="1"/>
  <c r="K241" i="1"/>
  <c r="K238" i="1"/>
  <c r="K239" i="1"/>
  <c r="K236" i="1"/>
  <c r="K235" i="1" l="1"/>
  <c r="K234" i="1"/>
  <c r="K233" i="1"/>
  <c r="K232" i="1"/>
  <c r="F235" i="1"/>
  <c r="F234" i="1"/>
  <c r="F233" i="1"/>
  <c r="F232" i="1"/>
  <c r="K231" i="1"/>
  <c r="K230" i="1"/>
  <c r="K228" i="1"/>
  <c r="K229" i="1"/>
  <c r="K226" i="1"/>
  <c r="K224" i="1"/>
  <c r="K223" i="1"/>
  <c r="K225" i="1"/>
  <c r="K222" i="1"/>
  <c r="F225" i="1"/>
  <c r="F224" i="1"/>
  <c r="F223" i="1"/>
  <c r="F222" i="1"/>
  <c r="K220" i="1"/>
  <c r="K219" i="1"/>
  <c r="K218" i="1"/>
  <c r="K217" i="1"/>
  <c r="K216" i="1"/>
  <c r="F219" i="1"/>
  <c r="F218" i="1"/>
  <c r="F217" i="1"/>
  <c r="F216" i="1"/>
  <c r="K213" i="1"/>
  <c r="K212" i="1"/>
  <c r="K214" i="1"/>
  <c r="K210" i="1"/>
  <c r="K209" i="1"/>
  <c r="K208" i="1"/>
  <c r="K207" i="1"/>
  <c r="K206" i="1"/>
  <c r="K204" i="1"/>
  <c r="K205" i="1"/>
  <c r="K203" i="1"/>
  <c r="K202" i="1"/>
  <c r="K201" i="1"/>
  <c r="K198" i="1"/>
  <c r="K200" i="1"/>
  <c r="K196" i="1" l="1"/>
  <c r="K194" i="1"/>
  <c r="K193" i="1"/>
  <c r="K192" i="1"/>
  <c r="K190" i="1"/>
  <c r="K188" i="1"/>
  <c r="K186" i="1"/>
  <c r="K185" i="1"/>
  <c r="K184" i="1"/>
  <c r="K182" i="1"/>
  <c r="K178" i="1"/>
  <c r="K179" i="1"/>
  <c r="K181" i="1"/>
  <c r="K180" i="1"/>
  <c r="K177" i="1"/>
  <c r="F181" i="1"/>
  <c r="F180" i="1"/>
  <c r="F179" i="1"/>
  <c r="F178" i="1"/>
  <c r="F177" i="1"/>
  <c r="K175" i="1"/>
  <c r="K168" i="1"/>
  <c r="K167" i="1"/>
  <c r="K169" i="1"/>
  <c r="K170" i="1"/>
  <c r="K165" i="1"/>
  <c r="F163" i="1"/>
  <c r="F162" i="1"/>
  <c r="F161" i="1"/>
  <c r="F160" i="1"/>
  <c r="F151" i="1" l="1"/>
  <c r="F150" i="1"/>
  <c r="F149" i="1"/>
  <c r="F148" i="1"/>
  <c r="F146" i="1"/>
  <c r="F145" i="1"/>
  <c r="F144" i="1"/>
  <c r="F143" i="1"/>
  <c r="F134" i="1"/>
  <c r="F79" i="1"/>
  <c r="B90" i="2" s="1"/>
  <c r="F78" i="1"/>
  <c r="B89" i="2" s="1"/>
  <c r="F77" i="1"/>
  <c r="B88" i="2" s="1"/>
  <c r="F76" i="1"/>
  <c r="B87" i="2" s="1"/>
  <c r="F75" i="1"/>
  <c r="B86" i="2" s="1"/>
  <c r="F74" i="1"/>
  <c r="B85" i="2" s="1"/>
  <c r="B3" i="2"/>
  <c r="E17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G106" i="1"/>
  <c r="G105" i="1"/>
  <c r="G78" i="1"/>
  <c r="G77" i="1"/>
  <c r="G76" i="1"/>
  <c r="G60" i="1"/>
  <c r="G59" i="1"/>
  <c r="G30" i="1"/>
  <c r="G29" i="1"/>
  <c r="F133" i="1"/>
  <c r="B144" i="2" s="1"/>
  <c r="F132" i="1"/>
  <c r="B143" i="2" s="1"/>
  <c r="F131" i="1"/>
  <c r="B142" i="2" s="1"/>
  <c r="D142" i="2" s="1"/>
  <c r="F130" i="1"/>
  <c r="B141" i="2" s="1"/>
  <c r="F129" i="1"/>
  <c r="B140" i="2" s="1"/>
  <c r="F128" i="1"/>
  <c r="B139" i="2" s="1"/>
  <c r="F127" i="1"/>
  <c r="B138" i="2" s="1"/>
  <c r="D138" i="2" s="1"/>
  <c r="F126" i="1"/>
  <c r="B137" i="2" s="1"/>
  <c r="F125" i="1"/>
  <c r="B136" i="2" s="1"/>
  <c r="F124" i="1"/>
  <c r="B135" i="2" s="1"/>
  <c r="F123" i="1"/>
  <c r="B134" i="2" s="1"/>
  <c r="D134" i="2" s="1"/>
  <c r="F122" i="1"/>
  <c r="B133" i="2" s="1"/>
  <c r="F121" i="1"/>
  <c r="B132" i="2" s="1"/>
  <c r="F120" i="1"/>
  <c r="B131" i="2" s="1"/>
  <c r="F119" i="1"/>
  <c r="B130" i="2" s="1"/>
  <c r="D130" i="2" s="1"/>
  <c r="F118" i="1"/>
  <c r="B129" i="2" s="1"/>
  <c r="F117" i="1"/>
  <c r="B128" i="2" s="1"/>
  <c r="F116" i="1"/>
  <c r="B127" i="2" s="1"/>
  <c r="F115" i="1"/>
  <c r="B126" i="2" s="1"/>
  <c r="D126" i="2" s="1"/>
  <c r="F114" i="1"/>
  <c r="B125" i="2" s="1"/>
  <c r="F113" i="1"/>
  <c r="B124" i="2" s="1"/>
  <c r="F112" i="1"/>
  <c r="B123" i="2" s="1"/>
  <c r="F111" i="1"/>
  <c r="B122" i="2" s="1"/>
  <c r="D122" i="2" s="1"/>
  <c r="F110" i="1"/>
  <c r="B121" i="2" s="1"/>
  <c r="F109" i="1"/>
  <c r="B120" i="2" s="1"/>
  <c r="F108" i="1"/>
  <c r="B119" i="2" s="1"/>
  <c r="F107" i="1"/>
  <c r="B118" i="2" s="1"/>
  <c r="D118" i="2" s="1"/>
  <c r="F106" i="1"/>
  <c r="B117" i="2" s="1"/>
  <c r="F105" i="1"/>
  <c r="B116" i="2" s="1"/>
  <c r="F104" i="1"/>
  <c r="B115" i="2" s="1"/>
  <c r="F103" i="1"/>
  <c r="B114" i="2" s="1"/>
  <c r="D114" i="2" s="1"/>
  <c r="F102" i="1"/>
  <c r="B113" i="2" s="1"/>
  <c r="F101" i="1"/>
  <c r="B112" i="2" s="1"/>
  <c r="F100" i="1"/>
  <c r="B111" i="2" s="1"/>
  <c r="F99" i="1"/>
  <c r="B110" i="2" s="1"/>
  <c r="D110" i="2" s="1"/>
  <c r="F98" i="1"/>
  <c r="B109" i="2" s="1"/>
  <c r="F97" i="1"/>
  <c r="B108" i="2" s="1"/>
  <c r="F96" i="1"/>
  <c r="B107" i="2" s="1"/>
  <c r="F95" i="1"/>
  <c r="B106" i="2" s="1"/>
  <c r="D106" i="2" s="1"/>
  <c r="F94" i="1"/>
  <c r="B105" i="2" s="1"/>
  <c r="F93" i="1"/>
  <c r="B104" i="2" s="1"/>
  <c r="F92" i="1"/>
  <c r="B103" i="2" s="1"/>
  <c r="F91" i="1"/>
  <c r="B102" i="2" s="1"/>
  <c r="D102" i="2" s="1"/>
  <c r="H102" i="2" s="1"/>
  <c r="F90" i="1"/>
  <c r="B101" i="2" s="1"/>
  <c r="F89" i="1"/>
  <c r="B100" i="2" s="1"/>
  <c r="F88" i="1"/>
  <c r="B99" i="2" s="1"/>
  <c r="F87" i="1"/>
  <c r="B98" i="2" s="1"/>
  <c r="D98" i="2" s="1"/>
  <c r="I98" i="2" s="1"/>
  <c r="F86" i="1"/>
  <c r="B97" i="2" s="1"/>
  <c r="F85" i="1"/>
  <c r="B96" i="2" s="1"/>
  <c r="F84" i="1"/>
  <c r="B95" i="2" s="1"/>
  <c r="F83" i="1"/>
  <c r="B94" i="2" s="1"/>
  <c r="D94" i="2" s="1"/>
  <c r="J94" i="2" s="1"/>
  <c r="F82" i="1"/>
  <c r="B93" i="2" s="1"/>
  <c r="F81" i="1"/>
  <c r="B92" i="2" s="1"/>
  <c r="F80" i="1"/>
  <c r="B91" i="2" s="1"/>
  <c r="F73" i="1"/>
  <c r="B84" i="2" s="1"/>
  <c r="D84" i="2" s="1"/>
  <c r="F72" i="1"/>
  <c r="B83" i="2" s="1"/>
  <c r="F71" i="1"/>
  <c r="B82" i="2" s="1"/>
  <c r="F70" i="1"/>
  <c r="B81" i="2" s="1"/>
  <c r="F69" i="1"/>
  <c r="B80" i="2" s="1"/>
  <c r="D80" i="2" s="1"/>
  <c r="F68" i="1"/>
  <c r="B79" i="2" s="1"/>
  <c r="F67" i="1"/>
  <c r="B78" i="2" s="1"/>
  <c r="F66" i="1"/>
  <c r="B77" i="2" s="1"/>
  <c r="F65" i="1"/>
  <c r="B76" i="2" s="1"/>
  <c r="D76" i="2" s="1"/>
  <c r="F64" i="1"/>
  <c r="B75" i="2" s="1"/>
  <c r="F63" i="1"/>
  <c r="B74" i="2" s="1"/>
  <c r="F62" i="1"/>
  <c r="B73" i="2" s="1"/>
  <c r="F61" i="1"/>
  <c r="B72" i="2" s="1"/>
  <c r="D72" i="2" s="1"/>
  <c r="F60" i="1"/>
  <c r="B71" i="2" s="1"/>
  <c r="F59" i="1"/>
  <c r="B70" i="2" s="1"/>
  <c r="F58" i="1"/>
  <c r="B69" i="2" s="1"/>
  <c r="F57" i="1"/>
  <c r="B68" i="2" s="1"/>
  <c r="D68" i="2" s="1"/>
  <c r="F56" i="1"/>
  <c r="B67" i="2" s="1"/>
  <c r="F55" i="1"/>
  <c r="B66" i="2" s="1"/>
  <c r="F54" i="1"/>
  <c r="B65" i="2" s="1"/>
  <c r="F53" i="1"/>
  <c r="F52" i="1"/>
  <c r="B63" i="2" s="1"/>
  <c r="F51" i="1"/>
  <c r="B62" i="2" s="1"/>
  <c r="F50" i="1"/>
  <c r="B61" i="2" s="1"/>
  <c r="F49" i="1"/>
  <c r="B60" i="2" s="1"/>
  <c r="D60" i="2" s="1"/>
  <c r="F48" i="1"/>
  <c r="B59" i="2" s="1"/>
  <c r="F47" i="1"/>
  <c r="B58" i="2" s="1"/>
  <c r="F46" i="1"/>
  <c r="B57" i="2" s="1"/>
  <c r="F45" i="1"/>
  <c r="B56" i="2" s="1"/>
  <c r="D56" i="2" s="1"/>
  <c r="F44" i="1"/>
  <c r="B55" i="2" s="1"/>
  <c r="F43" i="1"/>
  <c r="B54" i="2" s="1"/>
  <c r="F42" i="1"/>
  <c r="B53" i="2" s="1"/>
  <c r="F41" i="1"/>
  <c r="B52" i="2" s="1"/>
  <c r="D52" i="2" s="1"/>
  <c r="F40" i="1"/>
  <c r="B51" i="2" s="1"/>
  <c r="F39" i="1"/>
  <c r="B50" i="2" s="1"/>
  <c r="F38" i="1"/>
  <c r="B49" i="2" s="1"/>
  <c r="F37" i="1"/>
  <c r="B48" i="2" s="1"/>
  <c r="D48" i="2" s="1"/>
  <c r="F36" i="1"/>
  <c r="B47" i="2" s="1"/>
  <c r="F35" i="1"/>
  <c r="B46" i="2" s="1"/>
  <c r="F34" i="1"/>
  <c r="B45" i="2" s="1"/>
  <c r="F33" i="1"/>
  <c r="B44" i="2" s="1"/>
  <c r="D44" i="2" s="1"/>
  <c r="F32" i="1"/>
  <c r="B43" i="2" s="1"/>
  <c r="F31" i="1"/>
  <c r="B42" i="2" s="1"/>
  <c r="F30" i="1"/>
  <c r="B41" i="2" s="1"/>
  <c r="F29" i="1"/>
  <c r="B40" i="2" s="1"/>
  <c r="D40" i="2" s="1"/>
  <c r="F28" i="1"/>
  <c r="B39" i="2" s="1"/>
  <c r="F27" i="1"/>
  <c r="B38" i="2" s="1"/>
  <c r="F26" i="1"/>
  <c r="B37" i="2" s="1"/>
  <c r="F25" i="1"/>
  <c r="B36" i="2" s="1"/>
  <c r="D36" i="2" s="1"/>
  <c r="F24" i="1"/>
  <c r="B35" i="2" s="1"/>
  <c r="F23" i="1"/>
  <c r="B34" i="2" s="1"/>
  <c r="F22" i="1"/>
  <c r="B33" i="2" s="1"/>
  <c r="F21" i="1"/>
  <c r="B32" i="2" s="1"/>
  <c r="D32" i="2" s="1"/>
  <c r="F20" i="1"/>
  <c r="B31" i="2" s="1"/>
  <c r="F19" i="1"/>
  <c r="B30" i="2" s="1"/>
  <c r="F18" i="1"/>
  <c r="B29" i="2" s="1"/>
  <c r="F17" i="1"/>
  <c r="B28" i="2" s="1"/>
  <c r="D28" i="2" s="1"/>
  <c r="F16" i="1"/>
  <c r="B27" i="2" s="1"/>
  <c r="F15" i="1"/>
  <c r="B26" i="2" s="1"/>
  <c r="F14" i="1"/>
  <c r="B25" i="2" s="1"/>
  <c r="F13" i="1"/>
  <c r="B24" i="2" s="1"/>
  <c r="D24" i="2" s="1"/>
  <c r="F12" i="1"/>
  <c r="B23" i="2" s="1"/>
  <c r="F11" i="1"/>
  <c r="B22" i="2" s="1"/>
  <c r="F10" i="1"/>
  <c r="B21" i="2" s="1"/>
  <c r="F9" i="1"/>
  <c r="B20" i="2" s="1"/>
  <c r="D20" i="2" s="1"/>
  <c r="F8" i="1"/>
  <c r="B19" i="2" s="1"/>
  <c r="F7" i="1"/>
  <c r="B18" i="2" s="1"/>
  <c r="K112" i="1"/>
  <c r="K108" i="1"/>
  <c r="K106" i="1"/>
  <c r="AL6" i="1"/>
  <c r="G79" i="1" s="1"/>
  <c r="AO5" i="1"/>
  <c r="B64" i="2"/>
  <c r="D64" i="2" s="1"/>
  <c r="D41" i="2" l="1"/>
  <c r="M41" i="2" s="1"/>
  <c r="D91" i="2"/>
  <c r="M91" i="2" s="1"/>
  <c r="D99" i="2"/>
  <c r="M99" i="2" s="1"/>
  <c r="D107" i="2"/>
  <c r="M107" i="2" s="1"/>
  <c r="D123" i="2"/>
  <c r="F123" i="2" s="1"/>
  <c r="D139" i="2"/>
  <c r="M139" i="2" s="1"/>
  <c r="D25" i="2"/>
  <c r="I25" i="2" s="1"/>
  <c r="D88" i="2"/>
  <c r="H88" i="2" s="1"/>
  <c r="D143" i="2"/>
  <c r="L143" i="2" s="1"/>
  <c r="D127" i="2"/>
  <c r="F127" i="2" s="1"/>
  <c r="D85" i="2"/>
  <c r="I85" i="2" s="1"/>
  <c r="D77" i="2"/>
  <c r="K77" i="2" s="1"/>
  <c r="D45" i="2"/>
  <c r="J45" i="2" s="1"/>
  <c r="D27" i="2"/>
  <c r="I27" i="2" s="1"/>
  <c r="D19" i="2"/>
  <c r="F19" i="2" s="1"/>
  <c r="D23" i="2"/>
  <c r="M23" i="2" s="1"/>
  <c r="D31" i="2"/>
  <c r="M31" i="2" s="1"/>
  <c r="D35" i="2"/>
  <c r="L35" i="2" s="1"/>
  <c r="D39" i="2"/>
  <c r="H39" i="2" s="1"/>
  <c r="D43" i="2"/>
  <c r="G43" i="2" s="1"/>
  <c r="D47" i="2"/>
  <c r="J47" i="2" s="1"/>
  <c r="D51" i="2"/>
  <c r="G51" i="2" s="1"/>
  <c r="D55" i="2"/>
  <c r="G55" i="2" s="1"/>
  <c r="D59" i="2"/>
  <c r="M59" i="2" s="1"/>
  <c r="D63" i="2"/>
  <c r="L63" i="2" s="1"/>
  <c r="D67" i="2"/>
  <c r="K67" i="2" s="1"/>
  <c r="D71" i="2"/>
  <c r="M71" i="2" s="1"/>
  <c r="D75" i="2"/>
  <c r="M75" i="2" s="1"/>
  <c r="D79" i="2"/>
  <c r="G79" i="2" s="1"/>
  <c r="D83" i="2"/>
  <c r="G83" i="2" s="1"/>
  <c r="D93" i="2"/>
  <c r="L93" i="2" s="1"/>
  <c r="D97" i="2"/>
  <c r="K97" i="2" s="1"/>
  <c r="D101" i="2"/>
  <c r="K101" i="2" s="1"/>
  <c r="D105" i="2"/>
  <c r="K105" i="2" s="1"/>
  <c r="D109" i="2"/>
  <c r="L109" i="2" s="1"/>
  <c r="D113" i="2"/>
  <c r="H113" i="2" s="1"/>
  <c r="D117" i="2"/>
  <c r="K117" i="2" s="1"/>
  <c r="D121" i="2"/>
  <c r="F121" i="2" s="1"/>
  <c r="D125" i="2"/>
  <c r="I125" i="2" s="1"/>
  <c r="D129" i="2"/>
  <c r="I129" i="2" s="1"/>
  <c r="D133" i="2"/>
  <c r="F133" i="2" s="1"/>
  <c r="D137" i="2"/>
  <c r="K137" i="2" s="1"/>
  <c r="D141" i="2"/>
  <c r="L141" i="2" s="1"/>
  <c r="D87" i="2"/>
  <c r="G87" i="2" s="1"/>
  <c r="D131" i="2"/>
  <c r="F131" i="2" s="1"/>
  <c r="D115" i="2"/>
  <c r="J115" i="2" s="1"/>
  <c r="D103" i="2"/>
  <c r="L103" i="2" s="1"/>
  <c r="D95" i="2"/>
  <c r="K95" i="2" s="1"/>
  <c r="D49" i="2"/>
  <c r="M49" i="2" s="1"/>
  <c r="D33" i="2"/>
  <c r="I33" i="2" s="1"/>
  <c r="D18" i="2"/>
  <c r="L18" i="2" s="1"/>
  <c r="D22" i="2"/>
  <c r="L22" i="2" s="1"/>
  <c r="D26" i="2"/>
  <c r="G26" i="2" s="1"/>
  <c r="D30" i="2"/>
  <c r="M30" i="2" s="1"/>
  <c r="D34" i="2"/>
  <c r="M34" i="2" s="1"/>
  <c r="D38" i="2"/>
  <c r="F38" i="2" s="1"/>
  <c r="D42" i="2"/>
  <c r="I42" i="2" s="1"/>
  <c r="D46" i="2"/>
  <c r="H46" i="2" s="1"/>
  <c r="D50" i="2"/>
  <c r="H50" i="2" s="1"/>
  <c r="D54" i="2"/>
  <c r="M54" i="2" s="1"/>
  <c r="D58" i="2"/>
  <c r="G58" i="2" s="1"/>
  <c r="D62" i="2"/>
  <c r="M62" i="2" s="1"/>
  <c r="D66" i="2"/>
  <c r="M66" i="2" s="1"/>
  <c r="D70" i="2"/>
  <c r="F70" i="2" s="1"/>
  <c r="D74" i="2"/>
  <c r="G74" i="2" s="1"/>
  <c r="D78" i="2"/>
  <c r="M78" i="2" s="1"/>
  <c r="D82" i="2"/>
  <c r="J82" i="2" s="1"/>
  <c r="D92" i="2"/>
  <c r="L92" i="2" s="1"/>
  <c r="D96" i="2"/>
  <c r="J96" i="2" s="1"/>
  <c r="D100" i="2"/>
  <c r="J100" i="2" s="1"/>
  <c r="D104" i="2"/>
  <c r="H104" i="2" s="1"/>
  <c r="D108" i="2"/>
  <c r="L108" i="2" s="1"/>
  <c r="D112" i="2"/>
  <c r="I112" i="2" s="1"/>
  <c r="D116" i="2"/>
  <c r="H116" i="2" s="1"/>
  <c r="D120" i="2"/>
  <c r="L120" i="2" s="1"/>
  <c r="D124" i="2"/>
  <c r="H124" i="2" s="1"/>
  <c r="D128" i="2"/>
  <c r="I128" i="2" s="1"/>
  <c r="D132" i="2"/>
  <c r="J132" i="2" s="1"/>
  <c r="D136" i="2"/>
  <c r="H136" i="2" s="1"/>
  <c r="D140" i="2"/>
  <c r="K140" i="2" s="1"/>
  <c r="D144" i="2"/>
  <c r="H144" i="2" s="1"/>
  <c r="D86" i="2"/>
  <c r="G86" i="2" s="1"/>
  <c r="D90" i="2"/>
  <c r="L90" i="2" s="1"/>
  <c r="D135" i="2"/>
  <c r="I135" i="2" s="1"/>
  <c r="D119" i="2"/>
  <c r="F119" i="2" s="1"/>
  <c r="D89" i="2"/>
  <c r="K89" i="2" s="1"/>
  <c r="D81" i="2"/>
  <c r="J81" i="2" s="1"/>
  <c r="D73" i="2"/>
  <c r="I73" i="2" s="1"/>
  <c r="D53" i="2"/>
  <c r="L53" i="2" s="1"/>
  <c r="D37" i="2"/>
  <c r="L37" i="2" s="1"/>
  <c r="D21" i="2"/>
  <c r="F21" i="2" s="1"/>
  <c r="D29" i="2"/>
  <c r="G29" i="2" s="1"/>
  <c r="D57" i="2"/>
  <c r="M57" i="2" s="1"/>
  <c r="D61" i="2"/>
  <c r="M61" i="2" s="1"/>
  <c r="D65" i="2"/>
  <c r="M65" i="2" s="1"/>
  <c r="D69" i="2"/>
  <c r="K69" i="2" s="1"/>
  <c r="D111" i="2"/>
  <c r="F111" i="2" s="1"/>
  <c r="L106" i="2"/>
  <c r="I66" i="2"/>
  <c r="G80" i="1"/>
  <c r="H20" i="2"/>
  <c r="K28" i="2"/>
  <c r="G28" i="2"/>
  <c r="AL7" i="1"/>
  <c r="G166" i="1" s="1"/>
  <c r="I94" i="2"/>
  <c r="H106" i="2"/>
  <c r="G108" i="1"/>
  <c r="G34" i="1"/>
  <c r="AO6" i="1"/>
  <c r="H24" i="2"/>
  <c r="L24" i="2"/>
  <c r="I32" i="2"/>
  <c r="M32" i="2"/>
  <c r="M40" i="2"/>
  <c r="I40" i="2"/>
  <c r="M48" i="2"/>
  <c r="I48" i="2"/>
  <c r="G35" i="1"/>
  <c r="G107" i="1"/>
  <c r="M98" i="2"/>
  <c r="G61" i="1"/>
  <c r="H138" i="2"/>
  <c r="J138" i="2"/>
  <c r="L138" i="2"/>
  <c r="L142" i="2"/>
  <c r="I142" i="2"/>
  <c r="M24" i="2"/>
  <c r="J98" i="2"/>
  <c r="L102" i="2"/>
  <c r="I118" i="2"/>
  <c r="G118" i="2"/>
  <c r="M118" i="2"/>
  <c r="H118" i="2"/>
  <c r="F118" i="2"/>
  <c r="I114" i="2"/>
  <c r="F114" i="2"/>
  <c r="L114" i="2"/>
  <c r="G114" i="2"/>
  <c r="I76" i="2"/>
  <c r="L76" i="2"/>
  <c r="J76" i="2"/>
  <c r="K76" i="2"/>
  <c r="H76" i="2"/>
  <c r="L72" i="2"/>
  <c r="H72" i="2"/>
  <c r="M72" i="2"/>
  <c r="K72" i="2"/>
  <c r="J72" i="2"/>
  <c r="G68" i="2"/>
  <c r="H68" i="2"/>
  <c r="K68" i="2"/>
  <c r="I68" i="2"/>
  <c r="L68" i="2"/>
  <c r="J68" i="2"/>
  <c r="I44" i="2"/>
  <c r="M44" i="2"/>
  <c r="G44" i="2"/>
  <c r="F44" i="2"/>
  <c r="H44" i="2"/>
  <c r="L44" i="2"/>
  <c r="K44" i="2"/>
  <c r="J44" i="2"/>
  <c r="M68" i="2"/>
  <c r="I72" i="2"/>
  <c r="M76" i="2"/>
  <c r="M94" i="2"/>
  <c r="J114" i="2"/>
  <c r="L118" i="2"/>
  <c r="J118" i="2"/>
  <c r="G72" i="2"/>
  <c r="F72" i="2"/>
  <c r="G76" i="2"/>
  <c r="F76" i="2"/>
  <c r="K114" i="2"/>
  <c r="K118" i="2"/>
  <c r="F68" i="2"/>
  <c r="M114" i="2"/>
  <c r="H114" i="2"/>
  <c r="I52" i="2"/>
  <c r="H52" i="2"/>
  <c r="G52" i="2"/>
  <c r="F52" i="2"/>
  <c r="M52" i="2"/>
  <c r="L52" i="2"/>
  <c r="K52" i="2"/>
  <c r="J52" i="2"/>
  <c r="G60" i="2"/>
  <c r="F60" i="2"/>
  <c r="I60" i="2"/>
  <c r="M60" i="2"/>
  <c r="K60" i="2"/>
  <c r="J60" i="2"/>
  <c r="H60" i="2"/>
  <c r="L60" i="2"/>
  <c r="M134" i="2"/>
  <c r="G134" i="2"/>
  <c r="F134" i="2"/>
  <c r="H134" i="2"/>
  <c r="I134" i="2"/>
  <c r="K134" i="2"/>
  <c r="J134" i="2"/>
  <c r="L134" i="2"/>
  <c r="I130" i="2"/>
  <c r="G130" i="2"/>
  <c r="F130" i="2"/>
  <c r="L130" i="2"/>
  <c r="H130" i="2"/>
  <c r="M130" i="2"/>
  <c r="K130" i="2"/>
  <c r="J130" i="2"/>
  <c r="J126" i="2"/>
  <c r="M126" i="2"/>
  <c r="G126" i="2"/>
  <c r="F126" i="2"/>
  <c r="I126" i="2"/>
  <c r="H126" i="2"/>
  <c r="K126" i="2"/>
  <c r="L126" i="2"/>
  <c r="G122" i="2"/>
  <c r="F122" i="2"/>
  <c r="H122" i="2"/>
  <c r="I122" i="2"/>
  <c r="M122" i="2"/>
  <c r="K122" i="2"/>
  <c r="J122" i="2"/>
  <c r="L122" i="2"/>
  <c r="G84" i="2"/>
  <c r="H84" i="2"/>
  <c r="M84" i="2"/>
  <c r="L84" i="2"/>
  <c r="J84" i="2"/>
  <c r="F84" i="2"/>
  <c r="I84" i="2"/>
  <c r="K84" i="2"/>
  <c r="J80" i="2"/>
  <c r="K80" i="2"/>
  <c r="H80" i="2"/>
  <c r="I80" i="2"/>
  <c r="L80" i="2"/>
  <c r="F80" i="2"/>
  <c r="G80" i="2"/>
  <c r="M80" i="2"/>
  <c r="G56" i="2"/>
  <c r="F56" i="2"/>
  <c r="I56" i="2"/>
  <c r="M56" i="2"/>
  <c r="K56" i="2"/>
  <c r="J56" i="2"/>
  <c r="H56" i="2"/>
  <c r="L56" i="2"/>
  <c r="J142" i="2"/>
  <c r="G142" i="2"/>
  <c r="F142" i="2"/>
  <c r="H142" i="2"/>
  <c r="M142" i="2"/>
  <c r="K142" i="2"/>
  <c r="I138" i="2"/>
  <c r="M138" i="2"/>
  <c r="G138" i="2"/>
  <c r="F138" i="2"/>
  <c r="K138" i="2"/>
  <c r="I110" i="2"/>
  <c r="J110" i="2"/>
  <c r="M110" i="2"/>
  <c r="L110" i="2"/>
  <c r="G110" i="2"/>
  <c r="F110" i="2"/>
  <c r="H110" i="2"/>
  <c r="K110" i="2"/>
  <c r="J106" i="2"/>
  <c r="M106" i="2"/>
  <c r="G106" i="2"/>
  <c r="F106" i="2"/>
  <c r="I106" i="2"/>
  <c r="K106" i="2"/>
  <c r="I102" i="2"/>
  <c r="G102" i="2"/>
  <c r="F102" i="2"/>
  <c r="J102" i="2"/>
  <c r="M102" i="2"/>
  <c r="K102" i="2"/>
  <c r="L98" i="2"/>
  <c r="G98" i="2"/>
  <c r="F98" i="2"/>
  <c r="H98" i="2"/>
  <c r="K98" i="2"/>
  <c r="H94" i="2"/>
  <c r="G94" i="2"/>
  <c r="F94" i="2"/>
  <c r="L94" i="2"/>
  <c r="K94" i="2"/>
  <c r="H40" i="2"/>
  <c r="K40" i="2"/>
  <c r="J40" i="2"/>
  <c r="L40" i="2"/>
  <c r="G40" i="2"/>
  <c r="F40" i="2"/>
  <c r="I36" i="2"/>
  <c r="M36" i="2"/>
  <c r="K36" i="2"/>
  <c r="J36" i="2"/>
  <c r="H36" i="2"/>
  <c r="L36" i="2"/>
  <c r="G36" i="2"/>
  <c r="F36" i="2"/>
  <c r="H32" i="2"/>
  <c r="K32" i="2"/>
  <c r="J32" i="2"/>
  <c r="L32" i="2"/>
  <c r="G32" i="2"/>
  <c r="F32" i="2"/>
  <c r="K20" i="2"/>
  <c r="J20" i="2"/>
  <c r="I20" i="2"/>
  <c r="M20" i="2"/>
  <c r="L20" i="2"/>
  <c r="G20" i="2"/>
  <c r="F20" i="2"/>
  <c r="I64" i="2"/>
  <c r="L64" i="2"/>
  <c r="K64" i="2"/>
  <c r="J64" i="2"/>
  <c r="M64" i="2"/>
  <c r="H64" i="2"/>
  <c r="G64" i="2"/>
  <c r="F64" i="2"/>
  <c r="H48" i="2"/>
  <c r="K48" i="2"/>
  <c r="J48" i="2"/>
  <c r="L48" i="2"/>
  <c r="G48" i="2"/>
  <c r="F48" i="2"/>
  <c r="I41" i="2"/>
  <c r="F28" i="2"/>
  <c r="M28" i="2"/>
  <c r="L28" i="2"/>
  <c r="J28" i="2"/>
  <c r="I28" i="2"/>
  <c r="H28" i="2"/>
  <c r="K24" i="2"/>
  <c r="J24" i="2"/>
  <c r="I24" i="2"/>
  <c r="G24" i="2"/>
  <c r="F24" i="2"/>
  <c r="M123" i="2" l="1"/>
  <c r="L123" i="2"/>
  <c r="L136" i="2"/>
  <c r="H91" i="2"/>
  <c r="G41" i="2"/>
  <c r="L139" i="2"/>
  <c r="I123" i="2"/>
  <c r="H123" i="2"/>
  <c r="G139" i="2"/>
  <c r="J91" i="2"/>
  <c r="F139" i="2"/>
  <c r="F41" i="2"/>
  <c r="L41" i="2"/>
  <c r="G91" i="2"/>
  <c r="L91" i="2"/>
  <c r="K139" i="2"/>
  <c r="K123" i="2"/>
  <c r="G123" i="2"/>
  <c r="K41" i="2"/>
  <c r="J41" i="2"/>
  <c r="H41" i="2"/>
  <c r="F91" i="2"/>
  <c r="L107" i="2"/>
  <c r="J139" i="2"/>
  <c r="J123" i="2"/>
  <c r="G93" i="2"/>
  <c r="L25" i="2"/>
  <c r="H62" i="2"/>
  <c r="K91" i="2"/>
  <c r="K99" i="2"/>
  <c r="H139" i="2"/>
  <c r="G141" i="2"/>
  <c r="J66" i="2"/>
  <c r="F39" i="2"/>
  <c r="L50" i="2"/>
  <c r="I71" i="2"/>
  <c r="I91" i="2"/>
  <c r="H107" i="2"/>
  <c r="I139" i="2"/>
  <c r="I82" i="2"/>
  <c r="F85" i="2"/>
  <c r="J116" i="2"/>
  <c r="K33" i="2"/>
  <c r="M21" i="2"/>
  <c r="H99" i="2"/>
  <c r="M103" i="2"/>
  <c r="M109" i="2"/>
  <c r="K55" i="2"/>
  <c r="G104" i="2"/>
  <c r="K82" i="2"/>
  <c r="G136" i="2"/>
  <c r="G25" i="2"/>
  <c r="J50" i="2"/>
  <c r="L85" i="2"/>
  <c r="K71" i="2"/>
  <c r="I34" i="2"/>
  <c r="M93" i="2"/>
  <c r="M141" i="2"/>
  <c r="H34" i="2"/>
  <c r="H66" i="2"/>
  <c r="H18" i="2"/>
  <c r="G120" i="2"/>
  <c r="K19" i="2"/>
  <c r="K25" i="2"/>
  <c r="K81" i="2"/>
  <c r="L125" i="2"/>
  <c r="G71" i="2"/>
  <c r="I39" i="2"/>
  <c r="L99" i="2"/>
  <c r="G99" i="2"/>
  <c r="G103" i="2"/>
  <c r="K109" i="2"/>
  <c r="H55" i="2"/>
  <c r="I90" i="2"/>
  <c r="M18" i="2"/>
  <c r="J120" i="2"/>
  <c r="H19" i="2"/>
  <c r="F25" i="2"/>
  <c r="F81" i="2"/>
  <c r="F125" i="2"/>
  <c r="K107" i="2"/>
  <c r="I21" i="2"/>
  <c r="I93" i="2"/>
  <c r="F99" i="2"/>
  <c r="J99" i="2"/>
  <c r="I103" i="2"/>
  <c r="F107" i="2"/>
  <c r="J107" i="2"/>
  <c r="I109" i="2"/>
  <c r="I141" i="2"/>
  <c r="J55" i="2"/>
  <c r="G34" i="2"/>
  <c r="M90" i="2"/>
  <c r="M104" i="2"/>
  <c r="J18" i="2"/>
  <c r="G82" i="2"/>
  <c r="H120" i="2"/>
  <c r="K136" i="2"/>
  <c r="G19" i="2"/>
  <c r="M25" i="2"/>
  <c r="H25" i="2"/>
  <c r="I50" i="2"/>
  <c r="I81" i="2"/>
  <c r="H85" i="2"/>
  <c r="H125" i="2"/>
  <c r="H65" i="2"/>
  <c r="F65" i="2"/>
  <c r="G39" i="2"/>
  <c r="G107" i="2"/>
  <c r="G21" i="2"/>
  <c r="K93" i="2"/>
  <c r="I99" i="2"/>
  <c r="K103" i="2"/>
  <c r="I107" i="2"/>
  <c r="F109" i="2"/>
  <c r="K141" i="2"/>
  <c r="L55" i="2"/>
  <c r="K34" i="2"/>
  <c r="G66" i="2"/>
  <c r="F90" i="2"/>
  <c r="I18" i="2"/>
  <c r="M82" i="2"/>
  <c r="I120" i="2"/>
  <c r="J136" i="2"/>
  <c r="L19" i="2"/>
  <c r="J25" i="2"/>
  <c r="G50" i="2"/>
  <c r="J85" i="2"/>
  <c r="J125" i="2"/>
  <c r="M39" i="2"/>
  <c r="L71" i="2"/>
  <c r="H21" i="2"/>
  <c r="L21" i="2"/>
  <c r="F93" i="2"/>
  <c r="J93" i="2"/>
  <c r="F103" i="2"/>
  <c r="J103" i="2"/>
  <c r="J109" i="2"/>
  <c r="G109" i="2"/>
  <c r="F141" i="2"/>
  <c r="J141" i="2"/>
  <c r="I55" i="2"/>
  <c r="M55" i="2"/>
  <c r="F34" i="2"/>
  <c r="L34" i="2"/>
  <c r="F66" i="2"/>
  <c r="K66" i="2"/>
  <c r="J90" i="2"/>
  <c r="F104" i="2"/>
  <c r="I104" i="2"/>
  <c r="F18" i="2"/>
  <c r="G18" i="2"/>
  <c r="H82" i="2"/>
  <c r="F82" i="2"/>
  <c r="M120" i="2"/>
  <c r="K120" i="2"/>
  <c r="I136" i="2"/>
  <c r="M136" i="2"/>
  <c r="M19" i="2"/>
  <c r="I19" i="2"/>
  <c r="K50" i="2"/>
  <c r="F50" i="2"/>
  <c r="M81" i="2"/>
  <c r="K85" i="2"/>
  <c r="G85" i="2"/>
  <c r="K125" i="2"/>
  <c r="G125" i="2"/>
  <c r="F71" i="2"/>
  <c r="K39" i="2"/>
  <c r="J39" i="2"/>
  <c r="J71" i="2"/>
  <c r="J21" i="2"/>
  <c r="K21" i="2"/>
  <c r="H93" i="2"/>
  <c r="H103" i="2"/>
  <c r="H109" i="2"/>
  <c r="H141" i="2"/>
  <c r="F55" i="2"/>
  <c r="J34" i="2"/>
  <c r="L66" i="2"/>
  <c r="K90" i="2"/>
  <c r="G90" i="2"/>
  <c r="K104" i="2"/>
  <c r="K18" i="2"/>
  <c r="L82" i="2"/>
  <c r="F120" i="2"/>
  <c r="F136" i="2"/>
  <c r="J19" i="2"/>
  <c r="M50" i="2"/>
  <c r="H81" i="2"/>
  <c r="G81" i="2"/>
  <c r="M85" i="2"/>
  <c r="M125" i="2"/>
  <c r="H71" i="2"/>
  <c r="L39" i="2"/>
  <c r="J65" i="2"/>
  <c r="J104" i="2"/>
  <c r="H90" i="2"/>
  <c r="L81" i="2"/>
  <c r="L65" i="2"/>
  <c r="L137" i="2"/>
  <c r="G100" i="2"/>
  <c r="G121" i="2"/>
  <c r="G37" i="2"/>
  <c r="I51" i="2"/>
  <c r="I65" i="2"/>
  <c r="K65" i="2"/>
  <c r="M83" i="2"/>
  <c r="L100" i="2"/>
  <c r="M89" i="2"/>
  <c r="L86" i="2"/>
  <c r="H121" i="2"/>
  <c r="G65" i="2"/>
  <c r="F33" i="2"/>
  <c r="I105" i="2"/>
  <c r="H27" i="2"/>
  <c r="I78" i="2"/>
  <c r="L104" i="2"/>
  <c r="G88" i="2"/>
  <c r="I140" i="2"/>
  <c r="F75" i="2"/>
  <c r="H87" i="2"/>
  <c r="F61" i="2"/>
  <c r="I35" i="2"/>
  <c r="I67" i="2"/>
  <c r="M105" i="2"/>
  <c r="L132" i="2"/>
  <c r="I83" i="2"/>
  <c r="H127" i="2"/>
  <c r="F115" i="2"/>
  <c r="I46" i="2"/>
  <c r="K115" i="2"/>
  <c r="G35" i="2"/>
  <c r="I89" i="2"/>
  <c r="M137" i="2"/>
  <c r="F26" i="2"/>
  <c r="F27" i="2"/>
  <c r="K131" i="2"/>
  <c r="G116" i="2"/>
  <c r="K63" i="2"/>
  <c r="M115" i="2"/>
  <c r="H95" i="2"/>
  <c r="G53" i="2"/>
  <c r="J124" i="2"/>
  <c r="H54" i="2"/>
  <c r="K75" i="2"/>
  <c r="H31" i="2"/>
  <c r="H49" i="2"/>
  <c r="K58" i="2"/>
  <c r="L61" i="2"/>
  <c r="L30" i="2"/>
  <c r="H33" i="2"/>
  <c r="F37" i="2"/>
  <c r="F62" i="2"/>
  <c r="L67" i="2"/>
  <c r="L89" i="2"/>
  <c r="L105" i="2"/>
  <c r="K143" i="2"/>
  <c r="M100" i="2"/>
  <c r="F51" i="2"/>
  <c r="H86" i="2"/>
  <c r="M132" i="2"/>
  <c r="J27" i="2"/>
  <c r="L127" i="2"/>
  <c r="G131" i="2"/>
  <c r="I116" i="2"/>
  <c r="L78" i="2"/>
  <c r="J46" i="2"/>
  <c r="K116" i="2"/>
  <c r="H115" i="2"/>
  <c r="H100" i="2"/>
  <c r="J26" i="2"/>
  <c r="G111" i="2"/>
  <c r="G61" i="2"/>
  <c r="I30" i="2"/>
  <c r="L33" i="2"/>
  <c r="J37" i="2"/>
  <c r="K62" i="2"/>
  <c r="M67" i="2"/>
  <c r="I137" i="2"/>
  <c r="K51" i="2"/>
  <c r="J86" i="2"/>
  <c r="H132" i="2"/>
  <c r="H83" i="2"/>
  <c r="L121" i="2"/>
  <c r="G127" i="2"/>
  <c r="K111" i="2"/>
  <c r="I115" i="2"/>
  <c r="L46" i="2"/>
  <c r="J33" i="2"/>
  <c r="K43" i="2"/>
  <c r="L97" i="2"/>
  <c r="K22" i="2"/>
  <c r="M92" i="2"/>
  <c r="L124" i="2"/>
  <c r="L87" i="2"/>
  <c r="F113" i="2"/>
  <c r="L38" i="2"/>
  <c r="L113" i="2"/>
  <c r="M73" i="2"/>
  <c r="K23" i="2"/>
  <c r="J43" i="2"/>
  <c r="H53" i="2"/>
  <c r="H97" i="2"/>
  <c r="L59" i="2"/>
  <c r="G22" i="2"/>
  <c r="G47" i="2"/>
  <c r="J108" i="2"/>
  <c r="M29" i="2"/>
  <c r="F79" i="2"/>
  <c r="F129" i="2"/>
  <c r="F135" i="2"/>
  <c r="G69" i="2"/>
  <c r="J70" i="2"/>
  <c r="J38" i="2"/>
  <c r="K70" i="2"/>
  <c r="L112" i="2"/>
  <c r="H117" i="2"/>
  <c r="H61" i="2"/>
  <c r="L57" i="2"/>
  <c r="G23" i="2"/>
  <c r="L31" i="2"/>
  <c r="M33" i="2"/>
  <c r="H37" i="2"/>
  <c r="G62" i="2"/>
  <c r="J67" i="2"/>
  <c r="H89" i="2"/>
  <c r="L95" i="2"/>
  <c r="H105" i="2"/>
  <c r="H137" i="2"/>
  <c r="H59" i="2"/>
  <c r="G63" i="2"/>
  <c r="G108" i="2"/>
  <c r="F29" i="2"/>
  <c r="J51" i="2"/>
  <c r="F86" i="2"/>
  <c r="I132" i="2"/>
  <c r="G27" i="2"/>
  <c r="J79" i="2"/>
  <c r="F83" i="2"/>
  <c r="K121" i="2"/>
  <c r="K127" i="2"/>
  <c r="J129" i="2"/>
  <c r="J135" i="2"/>
  <c r="H73" i="2"/>
  <c r="K46" i="2"/>
  <c r="F78" i="2"/>
  <c r="J69" i="2"/>
  <c r="L77" i="2"/>
  <c r="M117" i="2"/>
  <c r="M42" i="2"/>
  <c r="I54" i="2"/>
  <c r="I43" i="2"/>
  <c r="M43" i="2"/>
  <c r="I95" i="2"/>
  <c r="I97" i="2"/>
  <c r="F59" i="2"/>
  <c r="G59" i="2"/>
  <c r="F22" i="2"/>
  <c r="L54" i="2"/>
  <c r="F88" i="2"/>
  <c r="I88" i="2"/>
  <c r="G92" i="2"/>
  <c r="F108" i="2"/>
  <c r="J140" i="2"/>
  <c r="L29" i="2"/>
  <c r="M124" i="2"/>
  <c r="M87" i="2"/>
  <c r="I87" i="2"/>
  <c r="K129" i="2"/>
  <c r="G135" i="2"/>
  <c r="H69" i="2"/>
  <c r="G75" i="2"/>
  <c r="M38" i="2"/>
  <c r="G70" i="2"/>
  <c r="H70" i="2"/>
  <c r="J113" i="2"/>
  <c r="L69" i="2"/>
  <c r="K73" i="2"/>
  <c r="J77" i="2"/>
  <c r="L140" i="2"/>
  <c r="L88" i="2"/>
  <c r="H57" i="2"/>
  <c r="I23" i="2"/>
  <c r="H43" i="2"/>
  <c r="L43" i="2"/>
  <c r="F95" i="2"/>
  <c r="J95" i="2"/>
  <c r="F97" i="2"/>
  <c r="J97" i="2"/>
  <c r="L101" i="2"/>
  <c r="J59" i="2"/>
  <c r="K59" i="2"/>
  <c r="I22" i="2"/>
  <c r="H22" i="2"/>
  <c r="K42" i="2"/>
  <c r="F54" i="2"/>
  <c r="K54" i="2"/>
  <c r="M88" i="2"/>
  <c r="F92" i="2"/>
  <c r="K92" i="2"/>
  <c r="M96" i="2"/>
  <c r="H108" i="2"/>
  <c r="F140" i="2"/>
  <c r="M140" i="2"/>
  <c r="G144" i="2"/>
  <c r="K29" i="2"/>
  <c r="I29" i="2"/>
  <c r="G124" i="2"/>
  <c r="K124" i="2"/>
  <c r="H128" i="2"/>
  <c r="J87" i="2"/>
  <c r="F87" i="2"/>
  <c r="G119" i="2"/>
  <c r="L129" i="2"/>
  <c r="H129" i="2"/>
  <c r="G133" i="2"/>
  <c r="L135" i="2"/>
  <c r="H135" i="2"/>
  <c r="G77" i="2"/>
  <c r="F73" i="2"/>
  <c r="F117" i="2"/>
  <c r="H75" i="2"/>
  <c r="F112" i="2"/>
  <c r="I45" i="2"/>
  <c r="I38" i="2"/>
  <c r="G38" i="2"/>
  <c r="H23" i="2"/>
  <c r="M70" i="2"/>
  <c r="L70" i="2"/>
  <c r="K113" i="2"/>
  <c r="M69" i="2"/>
  <c r="L73" i="2"/>
  <c r="L75" i="2"/>
  <c r="I75" i="2"/>
  <c r="M77" i="2"/>
  <c r="J88" i="2"/>
  <c r="H140" i="2"/>
  <c r="F23" i="2"/>
  <c r="J23" i="2"/>
  <c r="M95" i="2"/>
  <c r="M97" i="2"/>
  <c r="J22" i="2"/>
  <c r="G54" i="2"/>
  <c r="H92" i="2"/>
  <c r="K108" i="2"/>
  <c r="G140" i="2"/>
  <c r="H29" i="2"/>
  <c r="I124" i="2"/>
  <c r="G129" i="2"/>
  <c r="K135" i="2"/>
  <c r="F77" i="2"/>
  <c r="I113" i="2"/>
  <c r="I70" i="2"/>
  <c r="H38" i="2"/>
  <c r="I69" i="2"/>
  <c r="J75" i="2"/>
  <c r="I77" i="2"/>
  <c r="L23" i="2"/>
  <c r="F43" i="2"/>
  <c r="G95" i="2"/>
  <c r="G97" i="2"/>
  <c r="H101" i="2"/>
  <c r="I59" i="2"/>
  <c r="M22" i="2"/>
  <c r="G42" i="2"/>
  <c r="L49" i="2"/>
  <c r="J54" i="2"/>
  <c r="K88" i="2"/>
  <c r="J92" i="2"/>
  <c r="G96" i="2"/>
  <c r="M108" i="2"/>
  <c r="J29" i="2"/>
  <c r="F124" i="2"/>
  <c r="M128" i="2"/>
  <c r="K87" i="2"/>
  <c r="K119" i="2"/>
  <c r="M129" i="2"/>
  <c r="K133" i="2"/>
  <c r="M135" i="2"/>
  <c r="H77" i="2"/>
  <c r="G73" i="2"/>
  <c r="F69" i="2"/>
  <c r="G113" i="2"/>
  <c r="J74" i="2"/>
  <c r="L45" i="2"/>
  <c r="K38" i="2"/>
  <c r="I74" i="2"/>
  <c r="M113" i="2"/>
  <c r="J73" i="2"/>
  <c r="I108" i="2"/>
  <c r="I92" i="2"/>
  <c r="G82" i="1"/>
  <c r="J63" i="2"/>
  <c r="F57" i="2"/>
  <c r="G57" i="2"/>
  <c r="F31" i="2"/>
  <c r="G31" i="2"/>
  <c r="F53" i="2"/>
  <c r="I101" i="2"/>
  <c r="H143" i="2"/>
  <c r="J42" i="2"/>
  <c r="I47" i="2"/>
  <c r="G49" i="2"/>
  <c r="K96" i="2"/>
  <c r="J144" i="2"/>
  <c r="I26" i="2"/>
  <c r="G128" i="2"/>
  <c r="M79" i="2"/>
  <c r="H119" i="2"/>
  <c r="L131" i="2"/>
  <c r="H133" i="2"/>
  <c r="H111" i="2"/>
  <c r="G112" i="2"/>
  <c r="G45" i="2"/>
  <c r="J143" i="2"/>
  <c r="M58" i="2"/>
  <c r="K74" i="2"/>
  <c r="H112" i="2"/>
  <c r="M144" i="2"/>
  <c r="K47" i="2"/>
  <c r="J61" i="2"/>
  <c r="K61" i="2"/>
  <c r="J57" i="2"/>
  <c r="K57" i="2"/>
  <c r="G30" i="2"/>
  <c r="K30" i="2"/>
  <c r="K31" i="2"/>
  <c r="J31" i="2"/>
  <c r="G33" i="2"/>
  <c r="H35" i="2"/>
  <c r="M35" i="2"/>
  <c r="K37" i="2"/>
  <c r="M37" i="2"/>
  <c r="K53" i="2"/>
  <c r="M53" i="2"/>
  <c r="J62" i="2"/>
  <c r="H67" i="2"/>
  <c r="G67" i="2"/>
  <c r="F89" i="2"/>
  <c r="J89" i="2"/>
  <c r="F101" i="2"/>
  <c r="J101" i="2"/>
  <c r="F105" i="2"/>
  <c r="J105" i="2"/>
  <c r="F137" i="2"/>
  <c r="J137" i="2"/>
  <c r="F143" i="2"/>
  <c r="H42" i="2"/>
  <c r="H47" i="2"/>
  <c r="M47" i="2"/>
  <c r="J49" i="2"/>
  <c r="K49" i="2"/>
  <c r="H63" i="2"/>
  <c r="M63" i="2"/>
  <c r="I96" i="2"/>
  <c r="F100" i="2"/>
  <c r="I100" i="2"/>
  <c r="I144" i="2"/>
  <c r="H26" i="2"/>
  <c r="L26" i="2"/>
  <c r="M51" i="2"/>
  <c r="H51" i="2"/>
  <c r="I86" i="2"/>
  <c r="M86" i="2"/>
  <c r="F128" i="2"/>
  <c r="K128" i="2"/>
  <c r="G132" i="2"/>
  <c r="K132" i="2"/>
  <c r="M27" i="2"/>
  <c r="K27" i="2"/>
  <c r="L79" i="2"/>
  <c r="H79" i="2"/>
  <c r="L83" i="2"/>
  <c r="J83" i="2"/>
  <c r="M119" i="2"/>
  <c r="I119" i="2"/>
  <c r="M121" i="2"/>
  <c r="I121" i="2"/>
  <c r="M127" i="2"/>
  <c r="I127" i="2"/>
  <c r="M131" i="2"/>
  <c r="I131" i="2"/>
  <c r="M133" i="2"/>
  <c r="I133" i="2"/>
  <c r="M111" i="2"/>
  <c r="I111" i="2"/>
  <c r="F58" i="2"/>
  <c r="J112" i="2"/>
  <c r="K78" i="2"/>
  <c r="L58" i="2"/>
  <c r="F45" i="2"/>
  <c r="K45" i="2"/>
  <c r="G46" i="2"/>
  <c r="M46" i="2"/>
  <c r="K35" i="2"/>
  <c r="J58" i="2"/>
  <c r="H74" i="2"/>
  <c r="H78" i="2"/>
  <c r="K112" i="2"/>
  <c r="L116" i="2"/>
  <c r="L115" i="2"/>
  <c r="J117" i="2"/>
  <c r="F144" i="2"/>
  <c r="H30" i="2"/>
  <c r="M143" i="2"/>
  <c r="J35" i="2"/>
  <c r="J53" i="2"/>
  <c r="M101" i="2"/>
  <c r="F42" i="2"/>
  <c r="F49" i="2"/>
  <c r="I63" i="2"/>
  <c r="F96" i="2"/>
  <c r="K144" i="2"/>
  <c r="M26" i="2"/>
  <c r="L128" i="2"/>
  <c r="I79" i="2"/>
  <c r="L119" i="2"/>
  <c r="H131" i="2"/>
  <c r="L133" i="2"/>
  <c r="L111" i="2"/>
  <c r="I117" i="2"/>
  <c r="M112" i="2"/>
  <c r="H45" i="2"/>
  <c r="F74" i="2"/>
  <c r="L117" i="2"/>
  <c r="I61" i="2"/>
  <c r="I57" i="2"/>
  <c r="F30" i="2"/>
  <c r="J30" i="2"/>
  <c r="I31" i="2"/>
  <c r="F35" i="2"/>
  <c r="I37" i="2"/>
  <c r="I53" i="2"/>
  <c r="L62" i="2"/>
  <c r="F67" i="2"/>
  <c r="G89" i="2"/>
  <c r="G101" i="2"/>
  <c r="G105" i="2"/>
  <c r="G137" i="2"/>
  <c r="G143" i="2"/>
  <c r="I143" i="2"/>
  <c r="L42" i="2"/>
  <c r="F47" i="2"/>
  <c r="L47" i="2"/>
  <c r="I49" i="2"/>
  <c r="F63" i="2"/>
  <c r="H96" i="2"/>
  <c r="K100" i="2"/>
  <c r="L144" i="2"/>
  <c r="K26" i="2"/>
  <c r="L51" i="2"/>
  <c r="K86" i="2"/>
  <c r="J128" i="2"/>
  <c r="F132" i="2"/>
  <c r="L27" i="2"/>
  <c r="K79" i="2"/>
  <c r="K83" i="2"/>
  <c r="J119" i="2"/>
  <c r="J121" i="2"/>
  <c r="J127" i="2"/>
  <c r="J131" i="2"/>
  <c r="J133" i="2"/>
  <c r="J111" i="2"/>
  <c r="L74" i="2"/>
  <c r="G115" i="2"/>
  <c r="G117" i="2"/>
  <c r="F116" i="2"/>
  <c r="J78" i="2"/>
  <c r="M74" i="2"/>
  <c r="H58" i="2"/>
  <c r="M45" i="2"/>
  <c r="F46" i="2"/>
  <c r="I58" i="2"/>
  <c r="G78" i="2"/>
  <c r="M116" i="2"/>
  <c r="L96" i="2"/>
  <c r="I62" i="2"/>
  <c r="G36" i="1"/>
  <c r="AO7" i="1"/>
  <c r="G165" i="1"/>
  <c r="G81" i="1"/>
  <c r="G109" i="1"/>
  <c r="G62" i="1"/>
  <c r="G110" i="1"/>
  <c r="AL8" i="1"/>
  <c r="P68" i="2"/>
  <c r="P76" i="2"/>
  <c r="P118" i="2"/>
  <c r="P32" i="2"/>
  <c r="P36" i="2"/>
  <c r="P40" i="2"/>
  <c r="P138" i="2"/>
  <c r="P72" i="2"/>
  <c r="P114" i="2"/>
  <c r="P44" i="2"/>
  <c r="P126" i="2"/>
  <c r="P134" i="2"/>
  <c r="P56" i="2"/>
  <c r="P80" i="2"/>
  <c r="P84" i="2"/>
  <c r="P122" i="2"/>
  <c r="P130" i="2"/>
  <c r="P60" i="2"/>
  <c r="P52" i="2"/>
  <c r="P48" i="2"/>
  <c r="P64" i="2"/>
  <c r="P98" i="2"/>
  <c r="P24" i="2"/>
  <c r="P28" i="2"/>
  <c r="P20" i="2"/>
  <c r="P94" i="2"/>
  <c r="P102" i="2"/>
  <c r="P106" i="2"/>
  <c r="P110" i="2"/>
  <c r="P142" i="2"/>
  <c r="P123" i="2" l="1"/>
  <c r="P41" i="2"/>
  <c r="P139" i="2"/>
  <c r="P91" i="2"/>
  <c r="P55" i="2"/>
  <c r="P93" i="2"/>
  <c r="P99" i="2"/>
  <c r="P25" i="2"/>
  <c r="P18" i="2"/>
  <c r="P71" i="2"/>
  <c r="P107" i="2"/>
  <c r="P19" i="2"/>
  <c r="P85" i="2"/>
  <c r="P90" i="2"/>
  <c r="P21" i="2"/>
  <c r="P136" i="2"/>
  <c r="P34" i="2"/>
  <c r="P103" i="2"/>
  <c r="P120" i="2"/>
  <c r="P141" i="2"/>
  <c r="P66" i="2"/>
  <c r="P109" i="2"/>
  <c r="P39" i="2"/>
  <c r="P50" i="2"/>
  <c r="P82" i="2"/>
  <c r="P125" i="2"/>
  <c r="P104" i="2"/>
  <c r="P81" i="2"/>
  <c r="P23" i="2"/>
  <c r="P65" i="2"/>
  <c r="P57" i="2"/>
  <c r="P113" i="2"/>
  <c r="P89" i="2"/>
  <c r="P73" i="2"/>
  <c r="P127" i="2"/>
  <c r="P78" i="2"/>
  <c r="P119" i="2"/>
  <c r="P27" i="2"/>
  <c r="P69" i="2"/>
  <c r="P95" i="2"/>
  <c r="P70" i="2"/>
  <c r="P87" i="2"/>
  <c r="P92" i="2"/>
  <c r="P132" i="2"/>
  <c r="P51" i="2"/>
  <c r="P140" i="2"/>
  <c r="P29" i="2"/>
  <c r="P86" i="2"/>
  <c r="P97" i="2"/>
  <c r="I10" i="2"/>
  <c r="P129" i="2"/>
  <c r="P116" i="2"/>
  <c r="P115" i="2"/>
  <c r="P38" i="2"/>
  <c r="P75" i="2"/>
  <c r="P108" i="2"/>
  <c r="F10" i="2"/>
  <c r="P144" i="2"/>
  <c r="P79" i="2"/>
  <c r="P83" i="2"/>
  <c r="P143" i="2"/>
  <c r="P74" i="2"/>
  <c r="P128" i="2"/>
  <c r="P100" i="2"/>
  <c r="P47" i="2"/>
  <c r="P67" i="2"/>
  <c r="P37" i="2"/>
  <c r="P33" i="2"/>
  <c r="P30" i="2"/>
  <c r="P124" i="2"/>
  <c r="P77" i="2"/>
  <c r="P135" i="2"/>
  <c r="P54" i="2"/>
  <c r="P22" i="2"/>
  <c r="P43" i="2"/>
  <c r="P88" i="2"/>
  <c r="P59" i="2"/>
  <c r="G10" i="2"/>
  <c r="P117" i="2"/>
  <c r="K10" i="2"/>
  <c r="P42" i="2"/>
  <c r="P62" i="2"/>
  <c r="P61" i="2"/>
  <c r="P131" i="2"/>
  <c r="P49" i="2"/>
  <c r="P46" i="2"/>
  <c r="P121" i="2"/>
  <c r="P45" i="2"/>
  <c r="P53" i="2"/>
  <c r="P63" i="2"/>
  <c r="P31" i="2"/>
  <c r="M10" i="2"/>
  <c r="J10" i="2"/>
  <c r="P111" i="2"/>
  <c r="P101" i="2"/>
  <c r="P112" i="2"/>
  <c r="L10" i="2"/>
  <c r="P96" i="2"/>
  <c r="P137" i="2"/>
  <c r="P35" i="2"/>
  <c r="P58" i="2"/>
  <c r="P26" i="2"/>
  <c r="P105" i="2"/>
  <c r="P133" i="2"/>
  <c r="H10" i="2"/>
  <c r="G63" i="1"/>
  <c r="G85" i="1"/>
  <c r="G7" i="1"/>
  <c r="G8" i="1"/>
  <c r="AL9" i="1"/>
  <c r="G33" i="1"/>
  <c r="G84" i="1"/>
  <c r="G83" i="1"/>
  <c r="G37" i="1"/>
  <c r="G32" i="1"/>
  <c r="G31" i="1"/>
  <c r="AO8" i="1"/>
  <c r="G111" i="1"/>
  <c r="G112" i="1"/>
  <c r="N10" i="2" l="1"/>
  <c r="P10" i="2" s="1"/>
  <c r="G86" i="1"/>
  <c r="G64" i="1"/>
  <c r="AL10" i="1"/>
  <c r="G113" i="1"/>
  <c r="G10" i="1"/>
  <c r="AO9" i="1"/>
  <c r="G38" i="1"/>
  <c r="G9" i="1"/>
  <c r="G67" i="1" l="1"/>
  <c r="G118" i="1"/>
  <c r="G117" i="1"/>
  <c r="AO10" i="1"/>
  <c r="G87" i="1"/>
  <c r="G12" i="1"/>
  <c r="G39" i="1"/>
  <c r="AL11" i="1"/>
  <c r="G11" i="1"/>
  <c r="G92" i="1" l="1"/>
  <c r="G91" i="1"/>
  <c r="G122" i="1"/>
  <c r="G123" i="1"/>
  <c r="AO11" i="1"/>
  <c r="G14" i="1"/>
  <c r="AL12" i="1"/>
  <c r="G40" i="1"/>
  <c r="G13" i="1"/>
  <c r="G96" i="1" l="1"/>
  <c r="AO12" i="1"/>
  <c r="G124" i="1"/>
  <c r="AL13" i="1"/>
  <c r="G16" i="1"/>
  <c r="G15" i="1"/>
  <c r="G45" i="1"/>
  <c r="G125" i="1"/>
  <c r="G126" i="1" l="1"/>
  <c r="AL14" i="1"/>
  <c r="G50" i="1"/>
  <c r="AO13" i="1"/>
  <c r="G17" i="1"/>
  <c r="G97" i="1"/>
  <c r="G18" i="1"/>
  <c r="G19" i="1"/>
  <c r="G264" i="1" l="1"/>
  <c r="G265" i="1"/>
  <c r="G262" i="1"/>
  <c r="G263" i="1"/>
  <c r="G224" i="1"/>
  <c r="G222" i="1"/>
  <c r="G234" i="1"/>
  <c r="G219" i="1"/>
  <c r="G225" i="1"/>
  <c r="G235" i="1"/>
  <c r="G233" i="1"/>
  <c r="G218" i="1"/>
  <c r="G216" i="1"/>
  <c r="G232" i="1"/>
  <c r="G217" i="1"/>
  <c r="G223" i="1"/>
  <c r="G181" i="1"/>
  <c r="G179" i="1"/>
  <c r="G177" i="1"/>
  <c r="G180" i="1"/>
  <c r="G178" i="1"/>
  <c r="G163" i="1"/>
  <c r="G161" i="1"/>
  <c r="G121" i="1"/>
  <c r="G51" i="1"/>
  <c r="G120" i="1"/>
  <c r="G98" i="1"/>
  <c r="G70" i="1"/>
  <c r="G131" i="1"/>
  <c r="G99" i="1"/>
  <c r="AO14" i="1"/>
  <c r="G101" i="1"/>
  <c r="G132" i="1"/>
  <c r="G116" i="1"/>
  <c r="G94" i="1"/>
  <c r="G68" i="1"/>
  <c r="G127" i="1"/>
  <c r="G95" i="1"/>
  <c r="G151" i="1"/>
  <c r="G149" i="1"/>
  <c r="G146" i="1"/>
  <c r="G144" i="1"/>
  <c r="G145" i="1"/>
  <c r="G162" i="1"/>
  <c r="G160" i="1"/>
  <c r="G93" i="1"/>
  <c r="G130" i="1"/>
  <c r="G114" i="1"/>
  <c r="G90" i="1"/>
  <c r="G22" i="1"/>
  <c r="G119" i="1"/>
  <c r="G21" i="1"/>
  <c r="G129" i="1"/>
  <c r="G89" i="1"/>
  <c r="G128" i="1"/>
  <c r="G100" i="1"/>
  <c r="G88" i="1"/>
  <c r="G20" i="1"/>
  <c r="G115" i="1"/>
  <c r="AL15" i="1"/>
  <c r="G150" i="1"/>
  <c r="G148" i="1"/>
  <c r="G143" i="1"/>
  <c r="G133" i="1" l="1"/>
  <c r="G43" i="1"/>
  <c r="G56" i="1"/>
  <c r="G46" i="1"/>
  <c r="G69" i="1"/>
  <c r="G49" i="1"/>
  <c r="AO15" i="1"/>
  <c r="G47" i="1"/>
  <c r="G66" i="1"/>
  <c r="G48" i="1"/>
  <c r="G24" i="1"/>
  <c r="G53" i="1"/>
  <c r="G55" i="1"/>
  <c r="G102" i="1"/>
  <c r="G52" i="1"/>
  <c r="G42" i="1"/>
  <c r="G57" i="1"/>
  <c r="G25" i="1"/>
  <c r="G71" i="1"/>
  <c r="G23" i="1"/>
  <c r="G54" i="1"/>
  <c r="G44" i="1"/>
  <c r="G65" i="1"/>
  <c r="G41" i="1"/>
  <c r="AL16" i="1"/>
  <c r="G74" i="1" l="1"/>
  <c r="G26" i="1"/>
  <c r="AO16" i="1"/>
  <c r="G104" i="1"/>
  <c r="G28" i="1"/>
  <c r="AL17" i="1"/>
  <c r="G27" i="1"/>
  <c r="G58" i="1"/>
  <c r="G73" i="1"/>
  <c r="G75" i="1"/>
  <c r="G72" i="1"/>
  <c r="G103" i="1"/>
  <c r="AO17" i="1" l="1"/>
  <c r="AL18" i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</calcChain>
</file>

<file path=xl/sharedStrings.xml><?xml version="1.0" encoding="utf-8"?>
<sst xmlns="http://schemas.openxmlformats.org/spreadsheetml/2006/main" count="1626" uniqueCount="76">
  <si>
    <t>Auction Date</t>
  </si>
  <si>
    <t>Product Type</t>
  </si>
  <si>
    <t>Average Price</t>
  </si>
  <si>
    <t>Airtricity</t>
  </si>
  <si>
    <t>ESBI</t>
  </si>
  <si>
    <t>Bord Gais Eireann</t>
  </si>
  <si>
    <t>Standard Import 12 month</t>
  </si>
  <si>
    <t>Standard Import 11 month</t>
  </si>
  <si>
    <t>Standard Import 35 month</t>
  </si>
  <si>
    <t>Standard Import 24 month</t>
  </si>
  <si>
    <t>Standard Import 36 month</t>
  </si>
  <si>
    <t>Standard Import 23 month</t>
  </si>
  <si>
    <t>Standard Import monthly</t>
  </si>
  <si>
    <t>Non Standard Export 12 month</t>
  </si>
  <si>
    <t>Standard Export 12 month</t>
  </si>
  <si>
    <t>Standard Export monthly</t>
  </si>
  <si>
    <t>Non Standard Export monthly</t>
  </si>
  <si>
    <t>Capacity Start date</t>
  </si>
  <si>
    <t>Day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</si>
  <si>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</si>
  <si>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</si>
  <si>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</si>
  <si>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</si>
  <si>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</si>
  <si>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</si>
  <si>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</si>
  <si>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</si>
  <si>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</si>
  <si>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</si>
  <si>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</si>
  <si>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</si>
  <si>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</si>
  <si>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</si>
  <si>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£/MW/month</t>
  </si>
  <si>
    <t>Capacity Allocated MW</t>
  </si>
  <si>
    <t>Non Standard Import monthly</t>
  </si>
  <si>
    <t>Standard Import 7 month</t>
  </si>
  <si>
    <t>Standard Export 7 month</t>
  </si>
  <si>
    <t>Standard Export 11 month</t>
  </si>
  <si>
    <t>Non Standard Export 11 month</t>
  </si>
  <si>
    <t>NIE (PPB)</t>
  </si>
  <si>
    <t>Energia</t>
  </si>
  <si>
    <t>Moyle Interconnector Ltd</t>
  </si>
  <si>
    <t>Auction Results</t>
  </si>
  <si>
    <t>Export monthly</t>
  </si>
  <si>
    <t>Scottish Power</t>
  </si>
  <si>
    <t>SSE ESL</t>
  </si>
  <si>
    <t>Endesa Ireland Ltd</t>
  </si>
  <si>
    <t>Standard Import 6 month</t>
  </si>
  <si>
    <t>Standard Import 3 month</t>
  </si>
  <si>
    <t>Duration (months)</t>
  </si>
  <si>
    <t>Month number</t>
  </si>
  <si>
    <t>Capacity start date</t>
  </si>
  <si>
    <t>Capacity end date</t>
  </si>
  <si>
    <t>Period start</t>
  </si>
  <si>
    <t>Period end</t>
  </si>
  <si>
    <t>Capacity active</t>
  </si>
  <si>
    <t>Import/Export</t>
  </si>
  <si>
    <t>Import</t>
  </si>
  <si>
    <t>Export</t>
  </si>
  <si>
    <t>Capacity held in month</t>
  </si>
  <si>
    <t>Average £/MW/month</t>
  </si>
  <si>
    <t>Total</t>
  </si>
  <si>
    <t>Electroroute Energy Trading Ltd</t>
  </si>
  <si>
    <t>RWE Supply and Trading</t>
  </si>
  <si>
    <t>Standard Export 3 month</t>
  </si>
  <si>
    <t>Standard Export 6 month</t>
  </si>
  <si>
    <t>Danske Commodities</t>
  </si>
  <si>
    <t>Power NI</t>
  </si>
  <si>
    <t>Cenergise</t>
  </si>
  <si>
    <t>Brookfield Renewables</t>
  </si>
  <si>
    <t>Erova Energy</t>
  </si>
  <si>
    <t>Neas Energy</t>
  </si>
  <si>
    <t>Gaelectric</t>
  </si>
  <si>
    <t>Updated to:</t>
  </si>
  <si>
    <t>AXPO Trading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</si>
</sst>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/>
    <xf numFmtId="17" fontId="2" fillId="0" borderId="0" xfId="0" applyNumberFormat="1" applyFont="1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/>
    <xf numFmtId="164" fontId="0" fillId="0" borderId="0" xfId="0" applyNumberFormat="1" applyFill="1"/>
    <xf numFmtId="14" fontId="0" fillId="0" borderId="0" xfId="0" applyNumberFormat="1" applyFill="1"/>
    <xf numFmtId="0" fontId="2" fillId="0" borderId="14" xfId="0" applyFont="1" applyBorder="1"/>
    <xf numFmtId="0" fontId="3" fillId="0" borderId="0" xfId="0" applyFont="1"/>
    <xf numFmtId="0" fontId="3" fillId="0" borderId="2" xfId="0" applyFont="1" applyBorder="1"/>
    <xf numFmtId="0" fontId="3" fillId="0" borderId="1" xfId="0" applyFont="1" applyBorder="1"/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17" fontId="2" fillId="0" borderId="0" xfId="0" applyNumberFormat="1" applyFont="1" applyFill="1" applyAlignment="1">
      <alignment horizontal="right"/>
    </xf>
    <xf numFmtId="14" fontId="2" fillId="3" borderId="1" xfId="0" applyNumberFormat="1" applyFont="1" applyFill="1" applyBorder="1"/>
    <xf numFmtId="0" fontId="0" fillId="0" borderId="15" xfId="0" applyFill="1" applyBorder="1"/>
    <xf numFmtId="0" fontId="0" fillId="2" borderId="15" xfId="0" applyFill="1" applyBorder="1"/>
    <xf numFmtId="0" fontId="2" fillId="0" borderId="12" xfId="0" applyFont="1" applyBorder="1"/>
    <xf numFmtId="0" fontId="0" fillId="0" borderId="16" xfId="0" applyBorder="1"/>
    <xf numFmtId="0" fontId="0" fillId="0" borderId="15" xfId="0" applyBorder="1"/>
    <xf numFmtId="0" fontId="0" fillId="2" borderId="15" xfId="0" applyFill="1" applyBorder="1" applyAlignment="1">
      <alignment horizontal="center"/>
    </xf>
    <xf numFmtId="0" fontId="2" fillId="0" borderId="17" xfId="0" applyFont="1" applyBorder="1"/>
    <xf numFmtId="4" fontId="0" fillId="0" borderId="0" xfId="0" applyNumberFormat="1" applyFill="1"/>
    <xf numFmtId="0" fontId="3" fillId="0" borderId="1" xfId="0" applyFont="1" applyFill="1" applyBorder="1"/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/>
    <xf numFmtId="164" fontId="2" fillId="4" borderId="1" xfId="0" applyNumberFormat="1" applyFont="1" applyFill="1" applyBorder="1" applyAlignment="1">
      <alignment horizontal="center"/>
    </xf>
    <xf numFmtId="0" fontId="0" fillId="4" borderId="15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42"/>
  <sheetViews>
    <sheetView tabSelected="1" zoomScale="80" zoomScaleNormal="80" workbookViewId="0">
      <pane ySplit="6" topLeftCell="A370" activePane="bottomLeft" state="frozen"/>
      <selection pane="bottomLeft" activeCell="E401" sqref="E401"/>
    </sheetView>
  </sheetViews>
  <sheetFormatPr defaultColWidth="9.140625" defaultRowHeight="12.75" x14ac:dyDescent="0.2"/>
  <cols>
    <col min="1" max="1" width="35.42578125" bestFit="1" customWidth="1"/>
    <col min="2" max="2" width="6.5703125" bestFit="1" customWidth="1"/>
    <col min="3" max="3" width="5.7109375" bestFit="1" customWidth="1"/>
    <col min="4" max="4" width="27.140625" bestFit="1" customWidth="1"/>
    <col min="5" max="5" width="14.85546875" bestFit="1" customWidth="1"/>
    <col min="6" max="6" width="17.28515625" hidden="1" customWidth="1"/>
    <col min="7" max="7" width="14.28515625" hidden="1" customWidth="1"/>
    <col min="8" max="8" width="18.5703125" hidden="1" customWidth="1"/>
    <col min="9" max="9" width="7.42578125" bestFit="1" customWidth="1"/>
    <col min="10" max="10" width="5.5703125" bestFit="1" customWidth="1"/>
    <col min="11" max="11" width="14" style="3" bestFit="1" customWidth="1"/>
    <col min="12" max="17" width="8.7109375" style="1" customWidth="1"/>
    <col min="18" max="18" width="8.7109375" customWidth="1"/>
    <col min="19" max="21" width="8.7109375" style="5" customWidth="1"/>
    <col min="22" max="22" width="13" style="5" customWidth="1"/>
    <col min="23" max="23" width="11.140625" style="5" bestFit="1" customWidth="1"/>
    <col min="24" max="24" width="11.85546875" style="5" customWidth="1"/>
    <col min="25" max="25" width="13" style="5" customWidth="1"/>
    <col min="26" max="26" width="12.7109375" style="5" bestFit="1" customWidth="1"/>
    <col min="27" max="27" width="9.140625" style="5" customWidth="1"/>
    <col min="28" max="29" width="12" style="5" bestFit="1" customWidth="1"/>
    <col min="30" max="30" width="9.140625" style="5"/>
    <col min="31" max="31" width="12.42578125" style="5" bestFit="1" customWidth="1"/>
    <col min="32" max="32" width="9.140625" style="5"/>
    <col min="33" max="33" width="13.5703125" style="5" bestFit="1" customWidth="1"/>
    <col min="34" max="34" width="9.140625" style="5"/>
    <col min="35" max="35" width="12.42578125" style="5" bestFit="1" customWidth="1"/>
    <col min="36" max="36" width="12.7109375" style="5" bestFit="1" customWidth="1"/>
    <col min="37" max="16384" width="9.140625" style="5"/>
  </cols>
  <sheetData>
    <row r="1" spans="1:47" s="16" customFormat="1" ht="18" x14ac:dyDescent="0.25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5"/>
      <c r="P1" s="15"/>
      <c r="Q1" s="15"/>
      <c r="R1" s="14"/>
    </row>
    <row r="2" spans="1:47" s="16" customFormat="1" ht="18" x14ac:dyDescent="0.25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5"/>
      <c r="O2" s="15"/>
      <c r="P2" s="15"/>
      <c r="Q2" s="15"/>
      <c r="R2" s="14"/>
    </row>
    <row r="3" spans="1:47" x14ac:dyDescent="0.2">
      <c r="A3" s="2" t="s">
        <v>74</v>
      </c>
      <c r="B3" s="2"/>
      <c r="C3" s="2"/>
      <c r="D3" s="13">
        <v>42753</v>
      </c>
      <c r="E3" s="13"/>
      <c r="F3" s="13"/>
      <c r="G3" s="13"/>
    </row>
    <row r="4" spans="1:47" ht="13.5" thickBot="1" x14ac:dyDescent="0.25"/>
    <row r="5" spans="1:47" s="4" customFormat="1" x14ac:dyDescent="0.2">
      <c r="A5" s="19" t="s">
        <v>0</v>
      </c>
      <c r="B5" s="20"/>
      <c r="C5" s="20"/>
      <c r="D5" s="21" t="s">
        <v>1</v>
      </c>
      <c r="E5" s="44"/>
      <c r="F5" s="44"/>
      <c r="G5" s="44"/>
      <c r="H5" s="22" t="s">
        <v>17</v>
      </c>
      <c r="I5" s="20"/>
      <c r="J5" s="20"/>
      <c r="K5" s="23" t="s">
        <v>2</v>
      </c>
      <c r="L5" s="24" t="s">
        <v>34</v>
      </c>
      <c r="M5" s="25"/>
      <c r="N5" s="26"/>
      <c r="O5" s="27"/>
      <c r="P5" s="27"/>
      <c r="Q5" s="37"/>
      <c r="R5" s="28"/>
      <c r="S5" s="28"/>
      <c r="T5" s="56"/>
      <c r="U5" s="60"/>
      <c r="V5" s="60"/>
      <c r="W5" s="60"/>
      <c r="X5" s="60"/>
      <c r="Y5" s="60"/>
      <c r="Z5" s="60"/>
      <c r="AA5" s="60"/>
      <c r="AB5" s="60"/>
      <c r="AC5" s="60"/>
      <c r="AL5" s="4">
        <v>1</v>
      </c>
      <c r="AM5" s="4" t="s">
        <v>20</v>
      </c>
      <c r="AN5" s="4">
        <v>2006</v>
      </c>
      <c r="AO5" s="4">
        <f t="shared" ref="AO5:AO17" si="0">AL5</f>
        <v>1</v>
      </c>
      <c r="AP5" s="4" t="s">
        <v>10</v>
      </c>
      <c r="AS5" s="4">
        <v>0</v>
      </c>
      <c r="AU5" s="4">
        <v>36</v>
      </c>
    </row>
    <row r="6" spans="1:47" s="4" customFormat="1" ht="64.5" thickBot="1" x14ac:dyDescent="0.25">
      <c r="A6" s="29" t="s">
        <v>18</v>
      </c>
      <c r="B6" s="30" t="s">
        <v>19</v>
      </c>
      <c r="C6" s="30" t="s">
        <v>32</v>
      </c>
      <c r="D6" s="30"/>
      <c r="E6" s="30" t="s">
        <v>57</v>
      </c>
      <c r="F6" s="30" t="s">
        <v>50</v>
      </c>
      <c r="G6" s="30" t="s">
        <v>51</v>
      </c>
      <c r="H6" s="30" t="s">
        <v>18</v>
      </c>
      <c r="I6" s="30" t="s">
        <v>19</v>
      </c>
      <c r="J6" s="30" t="s">
        <v>32</v>
      </c>
      <c r="K6" s="30" t="s">
        <v>33</v>
      </c>
      <c r="L6" s="30" t="s">
        <v>5</v>
      </c>
      <c r="M6" s="30" t="s">
        <v>3</v>
      </c>
      <c r="N6" s="30" t="s">
        <v>41</v>
      </c>
      <c r="O6" s="30" t="s">
        <v>4</v>
      </c>
      <c r="P6" s="30" t="s">
        <v>46</v>
      </c>
      <c r="Q6" s="38" t="s">
        <v>45</v>
      </c>
      <c r="R6" s="31" t="s">
        <v>40</v>
      </c>
      <c r="S6" s="31" t="s">
        <v>47</v>
      </c>
      <c r="T6" s="38" t="s">
        <v>63</v>
      </c>
      <c r="U6" s="31" t="s">
        <v>64</v>
      </c>
      <c r="V6" s="31" t="s">
        <v>67</v>
      </c>
      <c r="W6" s="31" t="s">
        <v>68</v>
      </c>
      <c r="X6" s="31" t="s">
        <v>69</v>
      </c>
      <c r="Y6" s="31" t="s">
        <v>70</v>
      </c>
      <c r="Z6" s="31" t="s">
        <v>71</v>
      </c>
      <c r="AA6" s="31" t="s">
        <v>72</v>
      </c>
      <c r="AB6" s="31" t="s">
        <v>73</v>
      </c>
      <c r="AC6" s="31" t="s">
        <v>75</v>
      </c>
      <c r="AJ6" s="6"/>
      <c r="AK6" s="6"/>
      <c r="AL6" s="4">
        <f t="shared" ref="AL6:AL35" si="1">AL5+1</f>
        <v>2</v>
      </c>
      <c r="AM6" s="4" t="s">
        <v>21</v>
      </c>
      <c r="AN6" s="4">
        <v>2007</v>
      </c>
      <c r="AO6" s="4">
        <f t="shared" si="0"/>
        <v>2</v>
      </c>
      <c r="AP6" s="4" t="s">
        <v>8</v>
      </c>
      <c r="AS6" s="4">
        <v>0</v>
      </c>
      <c r="AU6" s="4">
        <v>35</v>
      </c>
    </row>
    <row r="7" spans="1:47" x14ac:dyDescent="0.2">
      <c r="A7" s="17">
        <v>24</v>
      </c>
      <c r="B7" s="17" t="s">
        <v>22</v>
      </c>
      <c r="C7" s="17">
        <v>2006</v>
      </c>
      <c r="D7" s="18" t="s">
        <v>12</v>
      </c>
      <c r="E7" s="46" t="s">
        <v>58</v>
      </c>
      <c r="F7" s="18">
        <f>SUMIF($AP$5:$AP$26,D7,$AU$5:$AU$26)</f>
        <v>1</v>
      </c>
      <c r="G7" s="18">
        <f>SUMIF($AM$5:$AM$26,I7,$AL$5:$AL$26)</f>
        <v>4</v>
      </c>
      <c r="H7" s="17">
        <v>1</v>
      </c>
      <c r="I7" s="17" t="s">
        <v>23</v>
      </c>
      <c r="J7" s="17">
        <v>2006</v>
      </c>
      <c r="K7" s="32"/>
      <c r="L7" s="17"/>
      <c r="M7" s="17">
        <v>55</v>
      </c>
      <c r="N7" s="17"/>
      <c r="O7" s="17"/>
      <c r="P7" s="17"/>
      <c r="Q7" s="17"/>
      <c r="R7" s="18"/>
      <c r="S7" s="18"/>
      <c r="T7" s="57"/>
      <c r="U7" s="18"/>
      <c r="V7" s="18"/>
      <c r="W7" s="18"/>
      <c r="X7" s="18"/>
      <c r="Y7" s="18"/>
      <c r="Z7" s="18"/>
      <c r="AA7" s="18"/>
      <c r="AB7" s="18"/>
      <c r="AC7" s="18"/>
      <c r="AL7" s="5">
        <f t="shared" si="1"/>
        <v>3</v>
      </c>
      <c r="AM7" s="5" t="s">
        <v>22</v>
      </c>
      <c r="AN7" s="5">
        <v>2008</v>
      </c>
      <c r="AO7" s="4">
        <f t="shared" si="0"/>
        <v>3</v>
      </c>
      <c r="AP7" s="5" t="s">
        <v>9</v>
      </c>
      <c r="AS7" s="4">
        <v>0</v>
      </c>
      <c r="AU7" s="5">
        <v>24</v>
      </c>
    </row>
    <row r="8" spans="1:47" x14ac:dyDescent="0.2">
      <c r="A8" s="7">
        <v>24</v>
      </c>
      <c r="B8" s="7" t="s">
        <v>22</v>
      </c>
      <c r="C8" s="7">
        <v>2006</v>
      </c>
      <c r="D8" s="8" t="s">
        <v>35</v>
      </c>
      <c r="E8" s="46" t="s">
        <v>58</v>
      </c>
      <c r="F8" s="8">
        <f t="shared" ref="F8:F71" si="2">SUMIF($AP$5:$AP$26,D8,$AU$5:$AU$26)</f>
        <v>1</v>
      </c>
      <c r="G8" s="8">
        <f t="shared" ref="G8:G71" si="3">SUMIF($AM$5:$AM$26,I8,$AL$5:$AL$26)</f>
        <v>4</v>
      </c>
      <c r="H8" s="7">
        <v>1</v>
      </c>
      <c r="I8" s="7" t="s">
        <v>23</v>
      </c>
      <c r="J8" s="7">
        <v>2006</v>
      </c>
      <c r="K8" s="33"/>
      <c r="L8" s="7"/>
      <c r="M8" s="7">
        <v>25</v>
      </c>
      <c r="N8" s="7"/>
      <c r="O8" s="7"/>
      <c r="P8" s="7"/>
      <c r="Q8" s="7"/>
      <c r="R8" s="8"/>
      <c r="S8" s="8"/>
      <c r="T8" s="58"/>
      <c r="U8" s="8"/>
      <c r="V8" s="8"/>
      <c r="W8" s="8"/>
      <c r="X8" s="8"/>
      <c r="Y8" s="8"/>
      <c r="Z8" s="8"/>
      <c r="AA8" s="8"/>
      <c r="AB8" s="8"/>
      <c r="AC8" s="8"/>
      <c r="AL8" s="5">
        <f t="shared" si="1"/>
        <v>4</v>
      </c>
      <c r="AM8" s="5" t="s">
        <v>23</v>
      </c>
      <c r="AN8" s="5">
        <v>2009</v>
      </c>
      <c r="AO8" s="4">
        <f t="shared" si="0"/>
        <v>4</v>
      </c>
      <c r="AP8" s="5" t="s">
        <v>11</v>
      </c>
      <c r="AS8" s="4">
        <v>0</v>
      </c>
      <c r="AU8" s="5">
        <v>23</v>
      </c>
    </row>
    <row r="9" spans="1:47" x14ac:dyDescent="0.2">
      <c r="A9" s="9">
        <v>25</v>
      </c>
      <c r="B9" s="9" t="s">
        <v>23</v>
      </c>
      <c r="C9" s="9">
        <v>2006</v>
      </c>
      <c r="D9" s="10" t="s">
        <v>16</v>
      </c>
      <c r="E9" s="10" t="s">
        <v>58</v>
      </c>
      <c r="F9" s="10">
        <f t="shared" si="2"/>
        <v>1</v>
      </c>
      <c r="G9" s="10">
        <f t="shared" si="3"/>
        <v>5</v>
      </c>
      <c r="H9" s="9">
        <v>1</v>
      </c>
      <c r="I9" s="9" t="s">
        <v>24</v>
      </c>
      <c r="J9" s="9">
        <v>2006</v>
      </c>
      <c r="K9" s="34"/>
      <c r="L9" s="9"/>
      <c r="M9" s="9"/>
      <c r="N9" s="9"/>
      <c r="O9" s="9">
        <v>50</v>
      </c>
      <c r="P9" s="9"/>
      <c r="Q9" s="9"/>
      <c r="R9" s="10"/>
      <c r="S9" s="10"/>
      <c r="T9" s="55"/>
      <c r="U9" s="10"/>
      <c r="V9" s="10"/>
      <c r="W9" s="10"/>
      <c r="X9" s="10"/>
      <c r="Y9" s="10"/>
      <c r="Z9" s="10"/>
      <c r="AA9" s="10"/>
      <c r="AB9" s="10"/>
      <c r="AC9" s="10"/>
      <c r="AL9" s="5">
        <f t="shared" si="1"/>
        <v>5</v>
      </c>
      <c r="AM9" s="5" t="s">
        <v>24</v>
      </c>
      <c r="AN9" s="5">
        <v>2010</v>
      </c>
      <c r="AO9" s="4">
        <f t="shared" si="0"/>
        <v>5</v>
      </c>
      <c r="AP9" s="5" t="s">
        <v>6</v>
      </c>
      <c r="AS9" s="4">
        <v>0</v>
      </c>
      <c r="AU9" s="5">
        <v>12</v>
      </c>
    </row>
    <row r="10" spans="1:47" x14ac:dyDescent="0.2">
      <c r="A10" s="9">
        <v>25</v>
      </c>
      <c r="B10" s="9" t="s">
        <v>23</v>
      </c>
      <c r="C10" s="9">
        <v>2006</v>
      </c>
      <c r="D10" s="10" t="s">
        <v>35</v>
      </c>
      <c r="E10" s="10" t="s">
        <v>58</v>
      </c>
      <c r="F10" s="10">
        <f t="shared" si="2"/>
        <v>1</v>
      </c>
      <c r="G10" s="10">
        <f t="shared" si="3"/>
        <v>5</v>
      </c>
      <c r="H10" s="9">
        <v>1</v>
      </c>
      <c r="I10" s="9" t="s">
        <v>24</v>
      </c>
      <c r="J10" s="9">
        <v>2006</v>
      </c>
      <c r="K10" s="34"/>
      <c r="L10" s="9"/>
      <c r="M10" s="9">
        <v>110</v>
      </c>
      <c r="N10" s="9"/>
      <c r="O10" s="9"/>
      <c r="P10" s="9"/>
      <c r="Q10" s="9"/>
      <c r="R10" s="10"/>
      <c r="S10" s="10"/>
      <c r="T10" s="55"/>
      <c r="U10" s="10"/>
      <c r="V10" s="10"/>
      <c r="W10" s="10"/>
      <c r="X10" s="10"/>
      <c r="Y10" s="10"/>
      <c r="Z10" s="10"/>
      <c r="AA10" s="10"/>
      <c r="AB10" s="10"/>
      <c r="AC10" s="10"/>
      <c r="AL10" s="5">
        <f t="shared" si="1"/>
        <v>6</v>
      </c>
      <c r="AM10" s="5" t="s">
        <v>25</v>
      </c>
      <c r="AN10" s="5">
        <v>2011</v>
      </c>
      <c r="AO10" s="4">
        <f t="shared" si="0"/>
        <v>6</v>
      </c>
      <c r="AP10" s="41" t="s">
        <v>48</v>
      </c>
      <c r="AS10" s="4"/>
      <c r="AU10" s="5">
        <v>6</v>
      </c>
    </row>
    <row r="11" spans="1:47" x14ac:dyDescent="0.2">
      <c r="A11" s="7">
        <v>25</v>
      </c>
      <c r="B11" s="7" t="s">
        <v>24</v>
      </c>
      <c r="C11" s="7">
        <v>2006</v>
      </c>
      <c r="D11" s="8" t="s">
        <v>15</v>
      </c>
      <c r="E11" s="47" t="s">
        <v>59</v>
      </c>
      <c r="F11" s="8">
        <f t="shared" si="2"/>
        <v>1</v>
      </c>
      <c r="G11" s="8">
        <f t="shared" si="3"/>
        <v>6</v>
      </c>
      <c r="H11" s="7">
        <v>1</v>
      </c>
      <c r="I11" s="7" t="s">
        <v>25</v>
      </c>
      <c r="J11" s="7">
        <v>2006</v>
      </c>
      <c r="K11" s="33"/>
      <c r="L11" s="7"/>
      <c r="M11" s="7"/>
      <c r="N11" s="7"/>
      <c r="O11" s="7">
        <v>50</v>
      </c>
      <c r="P11" s="7"/>
      <c r="Q11" s="7"/>
      <c r="R11" s="8"/>
      <c r="S11" s="8"/>
      <c r="T11" s="58"/>
      <c r="U11" s="8"/>
      <c r="V11" s="8"/>
      <c r="W11" s="8"/>
      <c r="X11" s="8"/>
      <c r="Y11" s="8"/>
      <c r="Z11" s="8"/>
      <c r="AA11" s="8"/>
      <c r="AB11" s="8"/>
      <c r="AC11" s="8"/>
      <c r="AL11" s="5">
        <f t="shared" si="1"/>
        <v>7</v>
      </c>
      <c r="AM11" s="5" t="s">
        <v>26</v>
      </c>
      <c r="AN11" s="5">
        <v>2012</v>
      </c>
      <c r="AO11" s="4">
        <f t="shared" si="0"/>
        <v>7</v>
      </c>
      <c r="AP11" s="41" t="s">
        <v>49</v>
      </c>
      <c r="AS11" s="4">
        <v>0</v>
      </c>
      <c r="AU11" s="5">
        <v>3</v>
      </c>
    </row>
    <row r="12" spans="1:47" x14ac:dyDescent="0.2">
      <c r="A12" s="7"/>
      <c r="B12" s="7"/>
      <c r="C12" s="7"/>
      <c r="D12" s="8" t="s">
        <v>35</v>
      </c>
      <c r="E12" s="8" t="s">
        <v>58</v>
      </c>
      <c r="F12" s="8">
        <f t="shared" si="2"/>
        <v>1</v>
      </c>
      <c r="G12" s="8">
        <f t="shared" si="3"/>
        <v>6</v>
      </c>
      <c r="H12" s="7">
        <v>1</v>
      </c>
      <c r="I12" s="7" t="s">
        <v>25</v>
      </c>
      <c r="J12" s="7">
        <v>2006</v>
      </c>
      <c r="K12" s="33"/>
      <c r="L12" s="7"/>
      <c r="M12" s="7">
        <v>70</v>
      </c>
      <c r="N12" s="7"/>
      <c r="O12" s="7">
        <v>165</v>
      </c>
      <c r="P12" s="7"/>
      <c r="Q12" s="7"/>
      <c r="R12" s="8"/>
      <c r="S12" s="8"/>
      <c r="T12" s="58"/>
      <c r="U12" s="8"/>
      <c r="V12" s="8"/>
      <c r="W12" s="8"/>
      <c r="X12" s="8"/>
      <c r="Y12" s="8"/>
      <c r="Z12" s="8"/>
      <c r="AA12" s="8"/>
      <c r="AB12" s="8"/>
      <c r="AC12" s="8"/>
      <c r="AL12" s="5">
        <f t="shared" si="1"/>
        <v>8</v>
      </c>
      <c r="AM12" s="5" t="s">
        <v>27</v>
      </c>
      <c r="AN12" s="5">
        <v>2013</v>
      </c>
      <c r="AO12" s="4">
        <f t="shared" si="0"/>
        <v>8</v>
      </c>
      <c r="AP12" s="5" t="s">
        <v>7</v>
      </c>
      <c r="AS12" s="4">
        <v>0</v>
      </c>
      <c r="AU12" s="5">
        <v>11</v>
      </c>
    </row>
    <row r="13" spans="1:47" x14ac:dyDescent="0.2">
      <c r="A13" s="9">
        <v>27</v>
      </c>
      <c r="B13" s="9" t="s">
        <v>25</v>
      </c>
      <c r="C13" s="9">
        <v>2006</v>
      </c>
      <c r="D13" s="10" t="s">
        <v>16</v>
      </c>
      <c r="E13" s="10" t="s">
        <v>59</v>
      </c>
      <c r="F13" s="10">
        <f t="shared" si="2"/>
        <v>1</v>
      </c>
      <c r="G13" s="10">
        <f t="shared" si="3"/>
        <v>7</v>
      </c>
      <c r="H13" s="9">
        <v>1</v>
      </c>
      <c r="I13" s="9" t="s">
        <v>26</v>
      </c>
      <c r="J13" s="9">
        <v>2006</v>
      </c>
      <c r="K13" s="34"/>
      <c r="L13" s="9"/>
      <c r="M13" s="9"/>
      <c r="N13" s="9"/>
      <c r="O13" s="9">
        <v>50</v>
      </c>
      <c r="P13" s="9"/>
      <c r="Q13" s="9"/>
      <c r="R13" s="10"/>
      <c r="S13" s="10"/>
      <c r="T13" s="55"/>
      <c r="U13" s="10"/>
      <c r="V13" s="10"/>
      <c r="W13" s="10"/>
      <c r="X13" s="10"/>
      <c r="Y13" s="10"/>
      <c r="Z13" s="10"/>
      <c r="AA13" s="10"/>
      <c r="AB13" s="10"/>
      <c r="AC13" s="10"/>
      <c r="AL13" s="5">
        <f t="shared" si="1"/>
        <v>9</v>
      </c>
      <c r="AM13" s="5" t="s">
        <v>28</v>
      </c>
      <c r="AN13" s="5">
        <v>2014</v>
      </c>
      <c r="AO13" s="4">
        <f t="shared" si="0"/>
        <v>9</v>
      </c>
      <c r="AP13" s="5" t="s">
        <v>36</v>
      </c>
      <c r="AS13" s="4">
        <v>0</v>
      </c>
      <c r="AU13" s="5">
        <v>7</v>
      </c>
    </row>
    <row r="14" spans="1:47" x14ac:dyDescent="0.2">
      <c r="A14" s="9"/>
      <c r="B14" s="9"/>
      <c r="C14" s="9"/>
      <c r="D14" s="10" t="s">
        <v>35</v>
      </c>
      <c r="E14" s="10" t="s">
        <v>58</v>
      </c>
      <c r="F14" s="10">
        <f t="shared" si="2"/>
        <v>1</v>
      </c>
      <c r="G14" s="10">
        <f t="shared" si="3"/>
        <v>7</v>
      </c>
      <c r="H14" s="9">
        <v>1</v>
      </c>
      <c r="I14" s="9" t="s">
        <v>26</v>
      </c>
      <c r="J14" s="9">
        <v>2006</v>
      </c>
      <c r="K14" s="34"/>
      <c r="L14" s="9"/>
      <c r="M14" s="9">
        <v>100</v>
      </c>
      <c r="N14" s="9"/>
      <c r="O14" s="9"/>
      <c r="P14" s="9"/>
      <c r="Q14" s="9"/>
      <c r="R14" s="10"/>
      <c r="S14" s="10"/>
      <c r="T14" s="55"/>
      <c r="U14" s="10"/>
      <c r="V14" s="10"/>
      <c r="W14" s="10"/>
      <c r="X14" s="10"/>
      <c r="Y14" s="10"/>
      <c r="Z14" s="10"/>
      <c r="AA14" s="10"/>
      <c r="AB14" s="10"/>
      <c r="AC14" s="10"/>
      <c r="AL14" s="5">
        <f t="shared" si="1"/>
        <v>10</v>
      </c>
      <c r="AM14" s="5" t="s">
        <v>29</v>
      </c>
      <c r="AN14" s="5">
        <v>2015</v>
      </c>
      <c r="AO14" s="4">
        <f t="shared" si="0"/>
        <v>10</v>
      </c>
      <c r="AP14" s="5" t="s">
        <v>12</v>
      </c>
      <c r="AS14" s="5">
        <v>0</v>
      </c>
      <c r="AU14" s="5">
        <v>1</v>
      </c>
    </row>
    <row r="15" spans="1:47" x14ac:dyDescent="0.2">
      <c r="A15" s="7">
        <v>25</v>
      </c>
      <c r="B15" s="7" t="s">
        <v>26</v>
      </c>
      <c r="C15" s="7">
        <v>2006</v>
      </c>
      <c r="D15" s="8" t="s">
        <v>16</v>
      </c>
      <c r="E15" s="8" t="s">
        <v>59</v>
      </c>
      <c r="F15" s="8">
        <f t="shared" si="2"/>
        <v>1</v>
      </c>
      <c r="G15" s="8">
        <f t="shared" si="3"/>
        <v>8</v>
      </c>
      <c r="H15" s="7">
        <v>1</v>
      </c>
      <c r="I15" s="7" t="s">
        <v>27</v>
      </c>
      <c r="J15" s="7">
        <v>2006</v>
      </c>
      <c r="K15" s="33"/>
      <c r="L15" s="7"/>
      <c r="M15" s="7"/>
      <c r="N15" s="7"/>
      <c r="O15" s="7">
        <v>50</v>
      </c>
      <c r="P15" s="7"/>
      <c r="Q15" s="7"/>
      <c r="R15" s="8"/>
      <c r="S15" s="8"/>
      <c r="T15" s="58"/>
      <c r="U15" s="8"/>
      <c r="V15" s="8"/>
      <c r="W15" s="8"/>
      <c r="X15" s="8"/>
      <c r="Y15" s="8"/>
      <c r="Z15" s="8"/>
      <c r="AA15" s="8"/>
      <c r="AB15" s="8"/>
      <c r="AC15" s="8"/>
      <c r="AL15" s="5">
        <f t="shared" si="1"/>
        <v>11</v>
      </c>
      <c r="AM15" s="5" t="s">
        <v>30</v>
      </c>
      <c r="AN15" s="5">
        <v>2016</v>
      </c>
      <c r="AO15" s="4">
        <f t="shared" si="0"/>
        <v>11</v>
      </c>
      <c r="AP15" s="5" t="s">
        <v>35</v>
      </c>
      <c r="AU15" s="5">
        <v>1</v>
      </c>
    </row>
    <row r="16" spans="1:47" x14ac:dyDescent="0.2">
      <c r="A16" s="7"/>
      <c r="B16" s="7"/>
      <c r="C16" s="7"/>
      <c r="D16" s="8" t="s">
        <v>35</v>
      </c>
      <c r="E16" s="8" t="s">
        <v>58</v>
      </c>
      <c r="F16" s="8">
        <f t="shared" si="2"/>
        <v>1</v>
      </c>
      <c r="G16" s="8">
        <f t="shared" si="3"/>
        <v>8</v>
      </c>
      <c r="H16" s="7">
        <v>1</v>
      </c>
      <c r="I16" s="7" t="s">
        <v>27</v>
      </c>
      <c r="J16" s="7">
        <v>2006</v>
      </c>
      <c r="K16" s="33"/>
      <c r="L16" s="7"/>
      <c r="M16" s="7">
        <v>110</v>
      </c>
      <c r="N16" s="7"/>
      <c r="O16" s="7"/>
      <c r="P16" s="7"/>
      <c r="Q16" s="7"/>
      <c r="R16" s="8"/>
      <c r="S16" s="8"/>
      <c r="T16" s="58"/>
      <c r="U16" s="8"/>
      <c r="V16" s="8"/>
      <c r="W16" s="8"/>
      <c r="X16" s="8"/>
      <c r="Y16" s="8"/>
      <c r="Z16" s="8"/>
      <c r="AA16" s="8"/>
      <c r="AB16" s="8"/>
      <c r="AC16" s="8"/>
      <c r="AL16" s="5">
        <f t="shared" si="1"/>
        <v>12</v>
      </c>
      <c r="AM16" s="5" t="s">
        <v>31</v>
      </c>
      <c r="AN16" s="5">
        <v>2017</v>
      </c>
      <c r="AO16" s="4">
        <f t="shared" si="0"/>
        <v>12</v>
      </c>
      <c r="AS16" s="5">
        <v>7</v>
      </c>
    </row>
    <row r="17" spans="1:47" x14ac:dyDescent="0.2">
      <c r="A17" s="9">
        <v>25</v>
      </c>
      <c r="B17" s="9" t="s">
        <v>27</v>
      </c>
      <c r="C17" s="9">
        <v>2006</v>
      </c>
      <c r="D17" s="10" t="s">
        <v>16</v>
      </c>
      <c r="E17" s="10" t="s">
        <v>59</v>
      </c>
      <c r="F17" s="10">
        <f t="shared" si="2"/>
        <v>1</v>
      </c>
      <c r="G17" s="10">
        <f t="shared" si="3"/>
        <v>9</v>
      </c>
      <c r="H17" s="9">
        <v>1</v>
      </c>
      <c r="I17" s="9" t="s">
        <v>28</v>
      </c>
      <c r="J17" s="9">
        <v>2006</v>
      </c>
      <c r="K17" s="34"/>
      <c r="L17" s="9"/>
      <c r="M17" s="9"/>
      <c r="N17" s="9"/>
      <c r="O17" s="9">
        <v>50</v>
      </c>
      <c r="P17" s="9"/>
      <c r="Q17" s="9"/>
      <c r="R17" s="10"/>
      <c r="S17" s="10"/>
      <c r="T17" s="55"/>
      <c r="U17" s="10"/>
      <c r="V17" s="10"/>
      <c r="W17" s="10"/>
      <c r="X17" s="10"/>
      <c r="Y17" s="10"/>
      <c r="Z17" s="10"/>
      <c r="AA17" s="10"/>
      <c r="AB17" s="10"/>
      <c r="AC17" s="10"/>
      <c r="AL17" s="5">
        <f t="shared" si="1"/>
        <v>13</v>
      </c>
      <c r="AN17" s="5">
        <v>2018</v>
      </c>
      <c r="AO17" s="4">
        <f t="shared" si="0"/>
        <v>13</v>
      </c>
      <c r="AP17" s="5" t="s">
        <v>37</v>
      </c>
      <c r="AS17" s="5">
        <v>11</v>
      </c>
      <c r="AU17" s="5">
        <v>7</v>
      </c>
    </row>
    <row r="18" spans="1:47" x14ac:dyDescent="0.2">
      <c r="A18" s="9"/>
      <c r="B18" s="9"/>
      <c r="C18" s="9"/>
      <c r="D18" s="10" t="s">
        <v>35</v>
      </c>
      <c r="E18" s="10" t="s">
        <v>58</v>
      </c>
      <c r="F18" s="10">
        <f t="shared" si="2"/>
        <v>1</v>
      </c>
      <c r="G18" s="10">
        <f t="shared" si="3"/>
        <v>9</v>
      </c>
      <c r="H18" s="9">
        <v>1</v>
      </c>
      <c r="I18" s="9" t="s">
        <v>28</v>
      </c>
      <c r="J18" s="9">
        <v>2006</v>
      </c>
      <c r="K18" s="34"/>
      <c r="L18" s="9"/>
      <c r="M18" s="9">
        <v>110</v>
      </c>
      <c r="N18" s="9"/>
      <c r="O18" s="9">
        <v>100</v>
      </c>
      <c r="P18" s="9"/>
      <c r="Q18" s="9"/>
      <c r="R18" s="9">
        <v>5</v>
      </c>
      <c r="S18" s="9">
        <v>5</v>
      </c>
      <c r="T18" s="59"/>
      <c r="U18" s="9"/>
      <c r="V18" s="9"/>
      <c r="W18" s="9"/>
      <c r="X18" s="9"/>
      <c r="Y18" s="9"/>
      <c r="Z18" s="9"/>
      <c r="AA18" s="9"/>
      <c r="AB18" s="9"/>
      <c r="AC18" s="9"/>
      <c r="AL18" s="5">
        <f t="shared" si="1"/>
        <v>14</v>
      </c>
      <c r="AP18" s="5" t="s">
        <v>38</v>
      </c>
      <c r="AS18" s="5">
        <v>12</v>
      </c>
      <c r="AU18" s="5">
        <v>12</v>
      </c>
    </row>
    <row r="19" spans="1:47" x14ac:dyDescent="0.2">
      <c r="A19" s="9"/>
      <c r="B19" s="9"/>
      <c r="C19" s="9"/>
      <c r="D19" s="10" t="s">
        <v>12</v>
      </c>
      <c r="E19" s="10" t="s">
        <v>58</v>
      </c>
      <c r="F19" s="10">
        <f t="shared" si="2"/>
        <v>1</v>
      </c>
      <c r="G19" s="10">
        <f t="shared" si="3"/>
        <v>9</v>
      </c>
      <c r="H19" s="9">
        <v>1</v>
      </c>
      <c r="I19" s="9" t="s">
        <v>28</v>
      </c>
      <c r="J19" s="9">
        <v>2006</v>
      </c>
      <c r="K19" s="34"/>
      <c r="L19" s="9"/>
      <c r="M19" s="9">
        <v>20</v>
      </c>
      <c r="N19" s="9"/>
      <c r="O19" s="9"/>
      <c r="P19" s="9"/>
      <c r="Q19" s="9"/>
      <c r="R19" s="10"/>
      <c r="S19" s="10"/>
      <c r="T19" s="55"/>
      <c r="U19" s="10"/>
      <c r="V19" s="10"/>
      <c r="W19" s="10"/>
      <c r="X19" s="10"/>
      <c r="Y19" s="10"/>
      <c r="Z19" s="10"/>
      <c r="AA19" s="10"/>
      <c r="AB19" s="10"/>
      <c r="AC19" s="10"/>
      <c r="AL19" s="5">
        <f t="shared" si="1"/>
        <v>15</v>
      </c>
      <c r="AP19" s="5" t="s">
        <v>14</v>
      </c>
      <c r="AS19" s="5">
        <v>11</v>
      </c>
      <c r="AU19" s="5">
        <v>11</v>
      </c>
    </row>
    <row r="20" spans="1:47" x14ac:dyDescent="0.2">
      <c r="A20" s="7">
        <v>26</v>
      </c>
      <c r="B20" s="7" t="s">
        <v>28</v>
      </c>
      <c r="C20" s="7">
        <v>2006</v>
      </c>
      <c r="D20" s="8" t="s">
        <v>16</v>
      </c>
      <c r="E20" s="8" t="s">
        <v>59</v>
      </c>
      <c r="F20" s="8">
        <f t="shared" si="2"/>
        <v>1</v>
      </c>
      <c r="G20" s="8">
        <f t="shared" si="3"/>
        <v>10</v>
      </c>
      <c r="H20" s="7">
        <v>1</v>
      </c>
      <c r="I20" s="7" t="s">
        <v>29</v>
      </c>
      <c r="J20" s="7">
        <v>2006</v>
      </c>
      <c r="K20" s="33"/>
      <c r="L20" s="7"/>
      <c r="M20" s="7"/>
      <c r="N20" s="7"/>
      <c r="O20" s="7">
        <v>50</v>
      </c>
      <c r="P20" s="7"/>
      <c r="Q20" s="7"/>
      <c r="R20" s="8"/>
      <c r="S20" s="8"/>
      <c r="T20" s="58"/>
      <c r="U20" s="8"/>
      <c r="V20" s="8"/>
      <c r="W20" s="8"/>
      <c r="X20" s="8"/>
      <c r="Y20" s="8"/>
      <c r="Z20" s="8"/>
      <c r="AA20" s="8"/>
      <c r="AB20" s="8"/>
      <c r="AC20" s="8"/>
      <c r="AL20" s="5">
        <f t="shared" si="1"/>
        <v>16</v>
      </c>
      <c r="AP20" s="5" t="s">
        <v>39</v>
      </c>
      <c r="AS20" s="5">
        <v>12</v>
      </c>
      <c r="AU20" s="5">
        <v>12</v>
      </c>
    </row>
    <row r="21" spans="1:47" x14ac:dyDescent="0.2">
      <c r="A21" s="7"/>
      <c r="B21" s="7"/>
      <c r="C21" s="7"/>
      <c r="D21" s="8" t="s">
        <v>35</v>
      </c>
      <c r="E21" s="8" t="s">
        <v>58</v>
      </c>
      <c r="F21" s="8">
        <f t="shared" si="2"/>
        <v>1</v>
      </c>
      <c r="G21" s="8">
        <f t="shared" si="3"/>
        <v>10</v>
      </c>
      <c r="H21" s="7">
        <v>1</v>
      </c>
      <c r="I21" s="7" t="s">
        <v>29</v>
      </c>
      <c r="J21" s="7">
        <v>2006</v>
      </c>
      <c r="K21" s="33"/>
      <c r="L21" s="7"/>
      <c r="M21" s="7">
        <v>100</v>
      </c>
      <c r="N21" s="7"/>
      <c r="O21" s="7">
        <v>100</v>
      </c>
      <c r="P21" s="7"/>
      <c r="Q21" s="7"/>
      <c r="R21" s="8"/>
      <c r="S21" s="8"/>
      <c r="T21" s="58"/>
      <c r="U21" s="8"/>
      <c r="V21" s="8"/>
      <c r="W21" s="8"/>
      <c r="X21" s="8"/>
      <c r="Y21" s="8"/>
      <c r="Z21" s="8"/>
      <c r="AA21" s="8"/>
      <c r="AB21" s="8"/>
      <c r="AC21" s="8"/>
      <c r="AL21" s="5">
        <f t="shared" si="1"/>
        <v>17</v>
      </c>
      <c r="AP21" s="5" t="s">
        <v>13</v>
      </c>
      <c r="AU21" s="5">
        <v>12</v>
      </c>
    </row>
    <row r="22" spans="1:47" x14ac:dyDescent="0.2">
      <c r="A22" s="7"/>
      <c r="B22" s="7"/>
      <c r="C22" s="7"/>
      <c r="D22" s="8" t="s">
        <v>12</v>
      </c>
      <c r="E22" s="8" t="s">
        <v>58</v>
      </c>
      <c r="F22" s="8">
        <f t="shared" si="2"/>
        <v>1</v>
      </c>
      <c r="G22" s="8">
        <f t="shared" si="3"/>
        <v>10</v>
      </c>
      <c r="H22" s="7">
        <v>1</v>
      </c>
      <c r="I22" s="7" t="s">
        <v>29</v>
      </c>
      <c r="J22" s="7">
        <v>2006</v>
      </c>
      <c r="K22" s="33"/>
      <c r="L22" s="7"/>
      <c r="M22" s="7">
        <v>35</v>
      </c>
      <c r="N22" s="7"/>
      <c r="O22" s="7"/>
      <c r="P22" s="7"/>
      <c r="Q22" s="7"/>
      <c r="R22" s="8"/>
      <c r="S22" s="8"/>
      <c r="T22" s="58"/>
      <c r="U22" s="8"/>
      <c r="V22" s="8"/>
      <c r="W22" s="8"/>
      <c r="X22" s="8"/>
      <c r="Y22" s="8"/>
      <c r="Z22" s="8"/>
      <c r="AA22" s="8"/>
      <c r="AB22" s="8"/>
      <c r="AC22" s="8"/>
      <c r="AL22" s="5">
        <f t="shared" si="1"/>
        <v>18</v>
      </c>
      <c r="AS22" s="5">
        <v>1</v>
      </c>
    </row>
    <row r="23" spans="1:47" x14ac:dyDescent="0.2">
      <c r="A23" s="9">
        <v>25</v>
      </c>
      <c r="B23" s="9" t="s">
        <v>29</v>
      </c>
      <c r="C23" s="9">
        <v>2006</v>
      </c>
      <c r="D23" s="10" t="s">
        <v>16</v>
      </c>
      <c r="E23" s="10" t="s">
        <v>59</v>
      </c>
      <c r="F23" s="10">
        <f t="shared" si="2"/>
        <v>1</v>
      </c>
      <c r="G23" s="10">
        <f t="shared" si="3"/>
        <v>11</v>
      </c>
      <c r="H23" s="9">
        <v>1</v>
      </c>
      <c r="I23" s="9" t="s">
        <v>30</v>
      </c>
      <c r="J23" s="9">
        <v>2006</v>
      </c>
      <c r="K23" s="34"/>
      <c r="L23" s="9"/>
      <c r="M23" s="9"/>
      <c r="N23" s="9"/>
      <c r="O23" s="9">
        <v>50</v>
      </c>
      <c r="P23" s="9"/>
      <c r="Q23" s="9"/>
      <c r="R23" s="10"/>
      <c r="S23" s="10"/>
      <c r="T23" s="55"/>
      <c r="U23" s="10"/>
      <c r="V23" s="10"/>
      <c r="W23" s="10"/>
      <c r="X23" s="10"/>
      <c r="Y23" s="10"/>
      <c r="Z23" s="10"/>
      <c r="AA23" s="10"/>
      <c r="AB23" s="10"/>
      <c r="AC23" s="10"/>
      <c r="AL23" s="5">
        <f t="shared" si="1"/>
        <v>19</v>
      </c>
      <c r="AP23" s="41" t="s">
        <v>16</v>
      </c>
      <c r="AS23" s="5">
        <v>1</v>
      </c>
      <c r="AU23" s="5">
        <v>1</v>
      </c>
    </row>
    <row r="24" spans="1:47" x14ac:dyDescent="0.2">
      <c r="A24" s="9"/>
      <c r="B24" s="9"/>
      <c r="C24" s="9"/>
      <c r="D24" s="10" t="s">
        <v>35</v>
      </c>
      <c r="E24" s="10" t="s">
        <v>58</v>
      </c>
      <c r="F24" s="10">
        <f t="shared" si="2"/>
        <v>1</v>
      </c>
      <c r="G24" s="10">
        <f t="shared" si="3"/>
        <v>11</v>
      </c>
      <c r="H24" s="9">
        <v>1</v>
      </c>
      <c r="I24" s="9" t="s">
        <v>30</v>
      </c>
      <c r="J24" s="9">
        <v>2006</v>
      </c>
      <c r="K24" s="34"/>
      <c r="L24" s="9"/>
      <c r="M24" s="9">
        <v>80</v>
      </c>
      <c r="N24" s="9"/>
      <c r="O24" s="9">
        <v>100</v>
      </c>
      <c r="P24" s="9"/>
      <c r="Q24" s="9"/>
      <c r="R24" s="10"/>
      <c r="S24" s="10"/>
      <c r="T24" s="55"/>
      <c r="U24" s="10"/>
      <c r="V24" s="10"/>
      <c r="W24" s="10"/>
      <c r="X24" s="10"/>
      <c r="Y24" s="10"/>
      <c r="Z24" s="10"/>
      <c r="AA24" s="10"/>
      <c r="AB24" s="10"/>
      <c r="AC24" s="10"/>
      <c r="AL24" s="5">
        <f t="shared" si="1"/>
        <v>20</v>
      </c>
      <c r="AP24" s="5" t="s">
        <v>15</v>
      </c>
      <c r="AS24" s="5">
        <v>1</v>
      </c>
      <c r="AU24" s="5">
        <v>1</v>
      </c>
    </row>
    <row r="25" spans="1:47" x14ac:dyDescent="0.2">
      <c r="A25" s="9"/>
      <c r="B25" s="9"/>
      <c r="C25" s="9"/>
      <c r="D25" s="10" t="s">
        <v>12</v>
      </c>
      <c r="E25" s="10" t="s">
        <v>58</v>
      </c>
      <c r="F25" s="10">
        <f t="shared" si="2"/>
        <v>1</v>
      </c>
      <c r="G25" s="10">
        <f t="shared" si="3"/>
        <v>11</v>
      </c>
      <c r="H25" s="9">
        <v>1</v>
      </c>
      <c r="I25" s="9" t="s">
        <v>30</v>
      </c>
      <c r="J25" s="9">
        <v>2006</v>
      </c>
      <c r="K25" s="34"/>
      <c r="L25" s="9"/>
      <c r="M25" s="9">
        <v>20</v>
      </c>
      <c r="N25" s="9"/>
      <c r="O25" s="9"/>
      <c r="P25" s="9"/>
      <c r="Q25" s="9"/>
      <c r="R25" s="10"/>
      <c r="S25" s="10"/>
      <c r="T25" s="55"/>
      <c r="U25" s="10"/>
      <c r="V25" s="10"/>
      <c r="W25" s="10"/>
      <c r="X25" s="10"/>
      <c r="Y25" s="10"/>
      <c r="Z25" s="10"/>
      <c r="AA25" s="10"/>
      <c r="AB25" s="10"/>
      <c r="AC25" s="10"/>
      <c r="AL25" s="5">
        <f t="shared" si="1"/>
        <v>21</v>
      </c>
      <c r="AP25" s="5" t="s">
        <v>13</v>
      </c>
      <c r="AS25" s="5">
        <v>1</v>
      </c>
      <c r="AU25" s="5">
        <v>1</v>
      </c>
    </row>
    <row r="26" spans="1:47" x14ac:dyDescent="0.2">
      <c r="A26" s="7">
        <v>24</v>
      </c>
      <c r="B26" s="7" t="s">
        <v>30</v>
      </c>
      <c r="C26" s="7">
        <v>2006</v>
      </c>
      <c r="D26" s="8" t="s">
        <v>16</v>
      </c>
      <c r="E26" s="8" t="s">
        <v>59</v>
      </c>
      <c r="F26" s="8">
        <f t="shared" si="2"/>
        <v>1</v>
      </c>
      <c r="G26" s="8">
        <f t="shared" si="3"/>
        <v>12</v>
      </c>
      <c r="H26" s="7">
        <v>1</v>
      </c>
      <c r="I26" s="7" t="s">
        <v>31</v>
      </c>
      <c r="J26" s="7">
        <v>2006</v>
      </c>
      <c r="K26" s="33"/>
      <c r="L26" s="7"/>
      <c r="M26" s="7">
        <v>40</v>
      </c>
      <c r="N26" s="7"/>
      <c r="O26" s="7">
        <v>10</v>
      </c>
      <c r="P26" s="7"/>
      <c r="Q26" s="7"/>
      <c r="R26" s="8"/>
      <c r="S26" s="8"/>
      <c r="T26" s="58"/>
      <c r="U26" s="8"/>
      <c r="V26" s="8"/>
      <c r="W26" s="8"/>
      <c r="X26" s="8"/>
      <c r="Y26" s="8"/>
      <c r="Z26" s="8"/>
      <c r="AA26" s="8"/>
      <c r="AB26" s="8"/>
      <c r="AC26" s="8"/>
      <c r="AL26" s="5">
        <f t="shared" si="1"/>
        <v>22</v>
      </c>
      <c r="AP26" s="5" t="s">
        <v>65</v>
      </c>
    </row>
    <row r="27" spans="1:47" x14ac:dyDescent="0.2">
      <c r="A27" s="7"/>
      <c r="B27" s="7"/>
      <c r="C27" s="7"/>
      <c r="D27" s="8" t="s">
        <v>35</v>
      </c>
      <c r="E27" s="8" t="s">
        <v>58</v>
      </c>
      <c r="F27" s="8">
        <f t="shared" si="2"/>
        <v>1</v>
      </c>
      <c r="G27" s="8">
        <f t="shared" si="3"/>
        <v>12</v>
      </c>
      <c r="H27" s="7">
        <v>1</v>
      </c>
      <c r="I27" s="7" t="s">
        <v>31</v>
      </c>
      <c r="J27" s="7">
        <v>2006</v>
      </c>
      <c r="K27" s="33"/>
      <c r="L27" s="7"/>
      <c r="M27" s="7"/>
      <c r="N27" s="7"/>
      <c r="O27" s="7">
        <v>225</v>
      </c>
      <c r="P27" s="7"/>
      <c r="Q27" s="7"/>
      <c r="R27" s="8"/>
      <c r="S27" s="8"/>
      <c r="T27" s="58"/>
      <c r="U27" s="8"/>
      <c r="V27" s="8"/>
      <c r="W27" s="8"/>
      <c r="X27" s="8"/>
      <c r="Y27" s="8"/>
      <c r="Z27" s="8"/>
      <c r="AA27" s="8"/>
      <c r="AB27" s="8"/>
      <c r="AC27" s="8"/>
      <c r="AL27" s="5">
        <f t="shared" si="1"/>
        <v>23</v>
      </c>
      <c r="AP27" s="5" t="s">
        <v>66</v>
      </c>
    </row>
    <row r="28" spans="1:47" x14ac:dyDescent="0.2">
      <c r="A28" s="7"/>
      <c r="B28" s="7"/>
      <c r="C28" s="7"/>
      <c r="D28" s="8" t="s">
        <v>12</v>
      </c>
      <c r="E28" s="8" t="s">
        <v>58</v>
      </c>
      <c r="F28" s="8">
        <f t="shared" si="2"/>
        <v>1</v>
      </c>
      <c r="G28" s="8">
        <f t="shared" si="3"/>
        <v>12</v>
      </c>
      <c r="H28" s="7">
        <v>1</v>
      </c>
      <c r="I28" s="7" t="s">
        <v>31</v>
      </c>
      <c r="J28" s="7">
        <v>2006</v>
      </c>
      <c r="K28" s="33"/>
      <c r="L28" s="7"/>
      <c r="M28" s="7">
        <v>10</v>
      </c>
      <c r="N28" s="7"/>
      <c r="O28" s="7"/>
      <c r="P28" s="7"/>
      <c r="Q28" s="7"/>
      <c r="R28" s="8"/>
      <c r="S28" s="8"/>
      <c r="T28" s="58"/>
      <c r="U28" s="8"/>
      <c r="V28" s="8"/>
      <c r="W28" s="8"/>
      <c r="X28" s="8"/>
      <c r="Y28" s="8"/>
      <c r="Z28" s="8"/>
      <c r="AA28" s="8"/>
      <c r="AB28" s="8"/>
      <c r="AC28" s="8"/>
      <c r="AL28" s="5">
        <f t="shared" si="1"/>
        <v>24</v>
      </c>
    </row>
    <row r="29" spans="1:47" x14ac:dyDescent="0.2">
      <c r="A29" s="9">
        <v>19</v>
      </c>
      <c r="B29" s="9" t="s">
        <v>31</v>
      </c>
      <c r="C29" s="9">
        <v>2006</v>
      </c>
      <c r="D29" s="10" t="s">
        <v>16</v>
      </c>
      <c r="E29" s="10" t="s">
        <v>59</v>
      </c>
      <c r="F29" s="10">
        <f t="shared" si="2"/>
        <v>1</v>
      </c>
      <c r="G29" s="10">
        <f t="shared" si="3"/>
        <v>1</v>
      </c>
      <c r="H29" s="9">
        <v>1</v>
      </c>
      <c r="I29" s="9" t="s">
        <v>20</v>
      </c>
      <c r="J29" s="9">
        <v>2007</v>
      </c>
      <c r="K29" s="34"/>
      <c r="L29" s="9"/>
      <c r="M29" s="9">
        <v>5</v>
      </c>
      <c r="N29" s="9"/>
      <c r="O29" s="9">
        <v>45</v>
      </c>
      <c r="P29" s="9"/>
      <c r="Q29" s="9"/>
      <c r="R29" s="10"/>
      <c r="S29" s="10"/>
      <c r="T29" s="55"/>
      <c r="U29" s="10"/>
      <c r="V29" s="10"/>
      <c r="W29" s="10"/>
      <c r="X29" s="10"/>
      <c r="Y29" s="10"/>
      <c r="Z29" s="10"/>
      <c r="AA29" s="10"/>
      <c r="AB29" s="10"/>
      <c r="AC29" s="10"/>
      <c r="AL29" s="5">
        <f t="shared" si="1"/>
        <v>25</v>
      </c>
    </row>
    <row r="30" spans="1:47" x14ac:dyDescent="0.2">
      <c r="A30" s="9"/>
      <c r="B30" s="9"/>
      <c r="C30" s="9"/>
      <c r="D30" s="10" t="s">
        <v>35</v>
      </c>
      <c r="E30" s="10" t="s">
        <v>58</v>
      </c>
      <c r="F30" s="10">
        <f t="shared" si="2"/>
        <v>1</v>
      </c>
      <c r="G30" s="10">
        <f t="shared" si="3"/>
        <v>1</v>
      </c>
      <c r="H30" s="9">
        <v>1</v>
      </c>
      <c r="I30" s="9" t="s">
        <v>20</v>
      </c>
      <c r="J30" s="9">
        <v>2007</v>
      </c>
      <c r="K30" s="34"/>
      <c r="L30" s="9"/>
      <c r="M30" s="9">
        <v>85</v>
      </c>
      <c r="N30" s="9"/>
      <c r="O30" s="9">
        <v>150</v>
      </c>
      <c r="P30" s="9"/>
      <c r="Q30" s="9"/>
      <c r="R30" s="10"/>
      <c r="S30" s="10"/>
      <c r="T30" s="55"/>
      <c r="U30" s="10"/>
      <c r="V30" s="10"/>
      <c r="W30" s="10"/>
      <c r="X30" s="10"/>
      <c r="Y30" s="10"/>
      <c r="Z30" s="10"/>
      <c r="AA30" s="10"/>
      <c r="AB30" s="10"/>
      <c r="AC30" s="10"/>
      <c r="AL30" s="5">
        <f t="shared" si="1"/>
        <v>26</v>
      </c>
    </row>
    <row r="31" spans="1:47" x14ac:dyDescent="0.2">
      <c r="A31" s="11">
        <v>10</v>
      </c>
      <c r="B31" s="11" t="s">
        <v>20</v>
      </c>
      <c r="C31" s="11">
        <v>2007</v>
      </c>
      <c r="D31" s="12" t="s">
        <v>37</v>
      </c>
      <c r="E31" s="12" t="s">
        <v>59</v>
      </c>
      <c r="F31" s="12">
        <f t="shared" si="2"/>
        <v>7</v>
      </c>
      <c r="G31" s="12">
        <f t="shared" si="3"/>
        <v>4</v>
      </c>
      <c r="H31" s="11">
        <v>1</v>
      </c>
      <c r="I31" s="11" t="s">
        <v>23</v>
      </c>
      <c r="J31" s="11">
        <v>2007</v>
      </c>
      <c r="K31" s="35">
        <v>2108.33</v>
      </c>
      <c r="L31" s="11"/>
      <c r="M31" s="11"/>
      <c r="N31" s="11"/>
      <c r="O31" s="11">
        <v>30</v>
      </c>
      <c r="P31" s="11"/>
      <c r="Q31" s="11"/>
      <c r="R31" s="12"/>
      <c r="S31" s="12"/>
      <c r="T31" s="54"/>
      <c r="U31" s="12"/>
      <c r="V31" s="12"/>
      <c r="W31" s="12"/>
      <c r="X31" s="12"/>
      <c r="Y31" s="12"/>
      <c r="Z31" s="12"/>
      <c r="AA31" s="12"/>
      <c r="AB31" s="12"/>
      <c r="AC31" s="12"/>
      <c r="AL31" s="5">
        <f t="shared" si="1"/>
        <v>27</v>
      </c>
    </row>
    <row r="32" spans="1:47" x14ac:dyDescent="0.2">
      <c r="A32" s="11"/>
      <c r="B32" s="11"/>
      <c r="C32" s="11"/>
      <c r="D32" s="12" t="s">
        <v>36</v>
      </c>
      <c r="E32" s="12" t="s">
        <v>58</v>
      </c>
      <c r="F32" s="12">
        <f t="shared" si="2"/>
        <v>7</v>
      </c>
      <c r="G32" s="12">
        <f t="shared" si="3"/>
        <v>4</v>
      </c>
      <c r="H32" s="11">
        <v>1</v>
      </c>
      <c r="I32" s="11" t="s">
        <v>23</v>
      </c>
      <c r="J32" s="11">
        <v>2007</v>
      </c>
      <c r="K32" s="35">
        <v>2432.6999999999998</v>
      </c>
      <c r="L32" s="11"/>
      <c r="M32" s="11"/>
      <c r="N32" s="11">
        <v>30</v>
      </c>
      <c r="O32" s="11">
        <v>85</v>
      </c>
      <c r="P32" s="11"/>
      <c r="Q32" s="11"/>
      <c r="R32" s="12"/>
      <c r="S32" s="12"/>
      <c r="T32" s="54"/>
      <c r="U32" s="12"/>
      <c r="V32" s="12"/>
      <c r="W32" s="12"/>
      <c r="X32" s="12"/>
      <c r="Y32" s="12"/>
      <c r="Z32" s="12"/>
      <c r="AA32" s="12"/>
      <c r="AB32" s="12"/>
      <c r="AC32" s="12"/>
      <c r="AL32" s="5">
        <f t="shared" si="1"/>
        <v>28</v>
      </c>
    </row>
    <row r="33" spans="1:38" x14ac:dyDescent="0.2">
      <c r="A33" s="9">
        <v>17</v>
      </c>
      <c r="B33" s="9" t="s">
        <v>20</v>
      </c>
      <c r="C33" s="9">
        <v>2007</v>
      </c>
      <c r="D33" s="10" t="s">
        <v>36</v>
      </c>
      <c r="E33" s="10" t="s">
        <v>58</v>
      </c>
      <c r="F33" s="10">
        <f t="shared" si="2"/>
        <v>7</v>
      </c>
      <c r="G33" s="10">
        <f t="shared" si="3"/>
        <v>4</v>
      </c>
      <c r="H33" s="9">
        <v>1</v>
      </c>
      <c r="I33" s="9" t="s">
        <v>23</v>
      </c>
      <c r="J33" s="9">
        <v>2007</v>
      </c>
      <c r="K33" s="34">
        <v>4741.0200000000004</v>
      </c>
      <c r="L33" s="9">
        <v>10</v>
      </c>
      <c r="M33" s="9">
        <v>60</v>
      </c>
      <c r="N33" s="9"/>
      <c r="O33" s="9"/>
      <c r="P33" s="9"/>
      <c r="Q33" s="9"/>
      <c r="R33" s="10"/>
      <c r="S33" s="10"/>
      <c r="T33" s="55"/>
      <c r="U33" s="10"/>
      <c r="V33" s="10"/>
      <c r="W33" s="10"/>
      <c r="X33" s="10"/>
      <c r="Y33" s="10"/>
      <c r="Z33" s="10"/>
      <c r="AA33" s="10"/>
      <c r="AB33" s="10"/>
      <c r="AC33" s="10"/>
      <c r="AL33" s="5">
        <f t="shared" si="1"/>
        <v>29</v>
      </c>
    </row>
    <row r="34" spans="1:38" x14ac:dyDescent="0.2">
      <c r="A34" s="11">
        <v>25</v>
      </c>
      <c r="B34" s="11" t="s">
        <v>20</v>
      </c>
      <c r="C34" s="11">
        <v>2007</v>
      </c>
      <c r="D34" s="12" t="s">
        <v>35</v>
      </c>
      <c r="E34" s="12" t="s">
        <v>58</v>
      </c>
      <c r="F34" s="12">
        <f t="shared" si="2"/>
        <v>1</v>
      </c>
      <c r="G34" s="12">
        <f t="shared" si="3"/>
        <v>2</v>
      </c>
      <c r="H34" s="11">
        <v>1</v>
      </c>
      <c r="I34" s="11" t="s">
        <v>21</v>
      </c>
      <c r="J34" s="11">
        <v>2007</v>
      </c>
      <c r="K34" s="35"/>
      <c r="L34" s="11"/>
      <c r="M34" s="11"/>
      <c r="N34" s="11"/>
      <c r="O34" s="11">
        <v>190</v>
      </c>
      <c r="P34" s="11"/>
      <c r="Q34" s="11"/>
      <c r="R34" s="12"/>
      <c r="S34" s="12"/>
      <c r="T34" s="54"/>
      <c r="U34" s="12"/>
      <c r="V34" s="12"/>
      <c r="W34" s="12"/>
      <c r="X34" s="12"/>
      <c r="Y34" s="12"/>
      <c r="Z34" s="12"/>
      <c r="AA34" s="12"/>
      <c r="AB34" s="12"/>
      <c r="AC34" s="12"/>
      <c r="AL34" s="5">
        <f t="shared" si="1"/>
        <v>30</v>
      </c>
    </row>
    <row r="35" spans="1:38" x14ac:dyDescent="0.2">
      <c r="A35" s="11"/>
      <c r="B35" s="11"/>
      <c r="C35" s="11"/>
      <c r="D35" s="12" t="s">
        <v>12</v>
      </c>
      <c r="E35" s="12" t="s">
        <v>58</v>
      </c>
      <c r="F35" s="12">
        <f t="shared" si="2"/>
        <v>1</v>
      </c>
      <c r="G35" s="12">
        <f t="shared" si="3"/>
        <v>2</v>
      </c>
      <c r="H35" s="11">
        <v>1</v>
      </c>
      <c r="I35" s="11" t="s">
        <v>21</v>
      </c>
      <c r="J35" s="11">
        <v>2007</v>
      </c>
      <c r="K35" s="35"/>
      <c r="L35" s="11"/>
      <c r="M35" s="11">
        <v>45</v>
      </c>
      <c r="N35" s="11"/>
      <c r="O35" s="11"/>
      <c r="P35" s="11"/>
      <c r="Q35" s="11"/>
      <c r="R35" s="12"/>
      <c r="S35" s="12"/>
      <c r="T35" s="54"/>
      <c r="U35" s="12"/>
      <c r="V35" s="12"/>
      <c r="W35" s="12"/>
      <c r="X35" s="12"/>
      <c r="Y35" s="12"/>
      <c r="Z35" s="12"/>
      <c r="AA35" s="12"/>
      <c r="AB35" s="12"/>
      <c r="AC35" s="12"/>
      <c r="AL35" s="5">
        <f t="shared" si="1"/>
        <v>31</v>
      </c>
    </row>
    <row r="36" spans="1:38" x14ac:dyDescent="0.2">
      <c r="A36" s="9">
        <v>23</v>
      </c>
      <c r="B36" s="9" t="s">
        <v>21</v>
      </c>
      <c r="C36" s="9">
        <v>2007</v>
      </c>
      <c r="D36" s="10" t="s">
        <v>12</v>
      </c>
      <c r="E36" s="10" t="s">
        <v>58</v>
      </c>
      <c r="F36" s="10">
        <f t="shared" si="2"/>
        <v>1</v>
      </c>
      <c r="G36" s="10">
        <f t="shared" si="3"/>
        <v>3</v>
      </c>
      <c r="H36" s="9">
        <v>1</v>
      </c>
      <c r="I36" s="9" t="s">
        <v>22</v>
      </c>
      <c r="J36" s="9">
        <v>2007</v>
      </c>
      <c r="K36" s="34">
        <v>9099.1200000000008</v>
      </c>
      <c r="L36" s="9"/>
      <c r="M36" s="9"/>
      <c r="N36" s="9"/>
      <c r="O36" s="9">
        <v>235</v>
      </c>
      <c r="P36" s="9"/>
      <c r="Q36" s="9"/>
      <c r="R36" s="10"/>
      <c r="S36" s="10"/>
      <c r="T36" s="55"/>
      <c r="U36" s="10"/>
      <c r="V36" s="10"/>
      <c r="W36" s="10"/>
      <c r="X36" s="10"/>
      <c r="Y36" s="10"/>
      <c r="Z36" s="10"/>
      <c r="AA36" s="10"/>
      <c r="AB36" s="10"/>
      <c r="AC36" s="10"/>
    </row>
    <row r="37" spans="1:38" x14ac:dyDescent="0.2">
      <c r="A37" s="7">
        <v>23</v>
      </c>
      <c r="B37" s="7" t="s">
        <v>22</v>
      </c>
      <c r="C37" s="7">
        <v>2007</v>
      </c>
      <c r="D37" s="8" t="s">
        <v>12</v>
      </c>
      <c r="E37" s="8" t="s">
        <v>58</v>
      </c>
      <c r="F37" s="8">
        <f t="shared" si="2"/>
        <v>1</v>
      </c>
      <c r="G37" s="8">
        <f t="shared" si="3"/>
        <v>4</v>
      </c>
      <c r="H37" s="7">
        <v>1</v>
      </c>
      <c r="I37" s="7" t="s">
        <v>23</v>
      </c>
      <c r="J37" s="7">
        <v>2007</v>
      </c>
      <c r="K37" s="33">
        <v>2802</v>
      </c>
      <c r="L37" s="7"/>
      <c r="M37" s="7"/>
      <c r="N37" s="7">
        <v>90</v>
      </c>
      <c r="O37" s="7"/>
      <c r="P37" s="7"/>
      <c r="Q37" s="7"/>
      <c r="R37" s="8"/>
      <c r="S37" s="8"/>
      <c r="T37" s="58"/>
      <c r="U37" s="8"/>
      <c r="V37" s="8"/>
      <c r="W37" s="8"/>
      <c r="X37" s="8"/>
      <c r="Y37" s="8"/>
      <c r="Z37" s="8"/>
      <c r="AA37" s="8"/>
      <c r="AB37" s="8"/>
      <c r="AC37" s="8"/>
    </row>
    <row r="38" spans="1:38" x14ac:dyDescent="0.2">
      <c r="A38" s="9">
        <v>25</v>
      </c>
      <c r="B38" s="9" t="s">
        <v>23</v>
      </c>
      <c r="C38" s="9">
        <v>2007</v>
      </c>
      <c r="D38" s="10" t="s">
        <v>12</v>
      </c>
      <c r="E38" s="10" t="s">
        <v>58</v>
      </c>
      <c r="F38" s="10">
        <f t="shared" si="2"/>
        <v>1</v>
      </c>
      <c r="G38" s="10">
        <f t="shared" si="3"/>
        <v>5</v>
      </c>
      <c r="H38" s="9">
        <v>1</v>
      </c>
      <c r="I38" s="9" t="s">
        <v>24</v>
      </c>
      <c r="J38" s="9">
        <v>2007</v>
      </c>
      <c r="K38" s="34">
        <v>3073.89</v>
      </c>
      <c r="L38" s="9"/>
      <c r="M38" s="9">
        <v>15</v>
      </c>
      <c r="N38" s="9">
        <v>75</v>
      </c>
      <c r="O38" s="9"/>
      <c r="P38" s="9"/>
      <c r="Q38" s="9"/>
      <c r="R38" s="10"/>
      <c r="S38" s="10"/>
      <c r="T38" s="55"/>
      <c r="U38" s="10"/>
      <c r="V38" s="10"/>
      <c r="W38" s="10"/>
      <c r="X38" s="10"/>
      <c r="Y38" s="10"/>
      <c r="Z38" s="10"/>
      <c r="AA38" s="10"/>
      <c r="AB38" s="10"/>
      <c r="AC38" s="10"/>
    </row>
    <row r="39" spans="1:38" x14ac:dyDescent="0.2">
      <c r="A39" s="7">
        <v>25</v>
      </c>
      <c r="B39" s="7" t="s">
        <v>24</v>
      </c>
      <c r="C39" s="7">
        <v>2007</v>
      </c>
      <c r="D39" s="8" t="s">
        <v>12</v>
      </c>
      <c r="E39" s="8" t="s">
        <v>58</v>
      </c>
      <c r="F39" s="8">
        <f t="shared" si="2"/>
        <v>1</v>
      </c>
      <c r="G39" s="8">
        <f t="shared" si="3"/>
        <v>6</v>
      </c>
      <c r="H39" s="7">
        <v>1</v>
      </c>
      <c r="I39" s="7" t="s">
        <v>25</v>
      </c>
      <c r="J39" s="7">
        <v>2007</v>
      </c>
      <c r="K39" s="33">
        <v>2007.17</v>
      </c>
      <c r="L39" s="7"/>
      <c r="M39" s="7"/>
      <c r="N39" s="7">
        <v>90</v>
      </c>
      <c r="O39" s="7"/>
      <c r="P39" s="7"/>
      <c r="Q39" s="7"/>
      <c r="R39" s="8"/>
      <c r="S39" s="8"/>
      <c r="T39" s="58"/>
      <c r="U39" s="8"/>
      <c r="V39" s="8"/>
      <c r="W39" s="8"/>
      <c r="X39" s="8"/>
      <c r="Y39" s="8"/>
      <c r="Z39" s="8"/>
      <c r="AA39" s="8"/>
      <c r="AB39" s="8"/>
      <c r="AC39" s="8"/>
    </row>
    <row r="40" spans="1:38" x14ac:dyDescent="0.2">
      <c r="A40" s="9">
        <v>26</v>
      </c>
      <c r="B40" s="9" t="s">
        <v>25</v>
      </c>
      <c r="C40" s="9">
        <v>2007</v>
      </c>
      <c r="D40" s="10" t="s">
        <v>12</v>
      </c>
      <c r="E40" s="10" t="s">
        <v>58</v>
      </c>
      <c r="F40" s="10">
        <f t="shared" si="2"/>
        <v>1</v>
      </c>
      <c r="G40" s="10">
        <f t="shared" si="3"/>
        <v>7</v>
      </c>
      <c r="H40" s="9">
        <v>1</v>
      </c>
      <c r="I40" s="9" t="s">
        <v>26</v>
      </c>
      <c r="J40" s="9">
        <v>2007</v>
      </c>
      <c r="K40" s="34">
        <v>1982.83</v>
      </c>
      <c r="L40" s="9"/>
      <c r="M40" s="9"/>
      <c r="N40" s="9">
        <v>90</v>
      </c>
      <c r="O40" s="9"/>
      <c r="P40" s="9"/>
      <c r="Q40" s="9"/>
      <c r="R40" s="10"/>
      <c r="S40" s="10"/>
      <c r="T40" s="55"/>
      <c r="U40" s="10"/>
      <c r="V40" s="10"/>
      <c r="W40" s="10"/>
      <c r="X40" s="10"/>
      <c r="Y40" s="10"/>
      <c r="Z40" s="10"/>
      <c r="AA40" s="10"/>
      <c r="AB40" s="10"/>
      <c r="AC40" s="10"/>
    </row>
    <row r="41" spans="1:38" x14ac:dyDescent="0.2">
      <c r="A41" s="11">
        <v>28</v>
      </c>
      <c r="B41" s="11" t="s">
        <v>25</v>
      </c>
      <c r="C41" s="11">
        <v>2007</v>
      </c>
      <c r="D41" s="12" t="s">
        <v>7</v>
      </c>
      <c r="E41" s="12" t="s">
        <v>58</v>
      </c>
      <c r="F41" s="12">
        <f t="shared" si="2"/>
        <v>11</v>
      </c>
      <c r="G41" s="12">
        <f t="shared" si="3"/>
        <v>11</v>
      </c>
      <c r="H41" s="11">
        <v>1</v>
      </c>
      <c r="I41" s="11" t="s">
        <v>30</v>
      </c>
      <c r="J41" s="11">
        <v>2007</v>
      </c>
      <c r="K41" s="35">
        <v>8329</v>
      </c>
      <c r="L41" s="11"/>
      <c r="M41" s="11">
        <v>10</v>
      </c>
      <c r="N41" s="11"/>
      <c r="O41" s="11"/>
      <c r="P41" s="11"/>
      <c r="Q41" s="11"/>
      <c r="R41" s="12"/>
      <c r="S41" s="12"/>
      <c r="T41" s="54"/>
      <c r="U41" s="12"/>
      <c r="V41" s="12"/>
      <c r="W41" s="12"/>
      <c r="X41" s="12"/>
      <c r="Y41" s="12"/>
      <c r="Z41" s="12"/>
      <c r="AA41" s="12"/>
      <c r="AB41" s="12"/>
      <c r="AC41" s="12"/>
    </row>
    <row r="42" spans="1:38" x14ac:dyDescent="0.2">
      <c r="A42" s="7"/>
      <c r="B42" s="7"/>
      <c r="C42" s="7"/>
      <c r="D42" s="8" t="s">
        <v>6</v>
      </c>
      <c r="E42" s="8" t="s">
        <v>58</v>
      </c>
      <c r="F42" s="8">
        <f t="shared" si="2"/>
        <v>12</v>
      </c>
      <c r="G42" s="8">
        <f t="shared" si="3"/>
        <v>11</v>
      </c>
      <c r="H42" s="7">
        <v>1</v>
      </c>
      <c r="I42" s="7" t="s">
        <v>30</v>
      </c>
      <c r="J42" s="7">
        <v>2007</v>
      </c>
      <c r="K42" s="33">
        <v>9671</v>
      </c>
      <c r="L42" s="7">
        <v>40</v>
      </c>
      <c r="M42" s="7"/>
      <c r="N42" s="7"/>
      <c r="O42" s="7"/>
      <c r="P42" s="7"/>
      <c r="Q42" s="7"/>
      <c r="R42" s="8"/>
      <c r="S42" s="8"/>
      <c r="T42" s="58"/>
      <c r="U42" s="8"/>
      <c r="V42" s="8"/>
      <c r="W42" s="8"/>
      <c r="X42" s="8"/>
      <c r="Y42" s="8"/>
      <c r="Z42" s="8"/>
      <c r="AA42" s="8"/>
      <c r="AB42" s="8"/>
      <c r="AC42" s="8"/>
    </row>
    <row r="43" spans="1:38" x14ac:dyDescent="0.2">
      <c r="A43" s="7"/>
      <c r="B43" s="7"/>
      <c r="C43" s="7"/>
      <c r="D43" s="8" t="s">
        <v>11</v>
      </c>
      <c r="E43" s="8" t="s">
        <v>58</v>
      </c>
      <c r="F43" s="8">
        <f t="shared" si="2"/>
        <v>23</v>
      </c>
      <c r="G43" s="8">
        <f t="shared" si="3"/>
        <v>11</v>
      </c>
      <c r="H43" s="7">
        <v>1</v>
      </c>
      <c r="I43" s="7" t="s">
        <v>30</v>
      </c>
      <c r="J43" s="7">
        <v>2007</v>
      </c>
      <c r="K43" s="33">
        <v>8931</v>
      </c>
      <c r="L43" s="7">
        <v>20</v>
      </c>
      <c r="M43" s="7"/>
      <c r="N43" s="7"/>
      <c r="O43" s="7"/>
      <c r="P43" s="7"/>
      <c r="Q43" s="7"/>
      <c r="R43" s="8"/>
      <c r="S43" s="8"/>
      <c r="T43" s="58"/>
      <c r="U43" s="8"/>
      <c r="V43" s="8"/>
      <c r="W43" s="8"/>
      <c r="X43" s="8"/>
      <c r="Y43" s="8"/>
      <c r="Z43" s="8"/>
      <c r="AA43" s="8"/>
      <c r="AB43" s="8"/>
      <c r="AC43" s="8"/>
    </row>
    <row r="44" spans="1:38" x14ac:dyDescent="0.2">
      <c r="A44" s="7"/>
      <c r="B44" s="7"/>
      <c r="C44" s="7"/>
      <c r="D44" s="8" t="s">
        <v>8</v>
      </c>
      <c r="E44" s="8" t="s">
        <v>58</v>
      </c>
      <c r="F44" s="8">
        <f t="shared" si="2"/>
        <v>35</v>
      </c>
      <c r="G44" s="8">
        <f t="shared" si="3"/>
        <v>11</v>
      </c>
      <c r="H44" s="7">
        <v>1</v>
      </c>
      <c r="I44" s="7" t="s">
        <v>30</v>
      </c>
      <c r="J44" s="7">
        <v>2007</v>
      </c>
      <c r="K44" s="33">
        <v>8329</v>
      </c>
      <c r="L44" s="7"/>
      <c r="M44" s="7">
        <v>20</v>
      </c>
      <c r="N44" s="7"/>
      <c r="O44" s="7"/>
      <c r="P44" s="7"/>
      <c r="Q44" s="7"/>
      <c r="R44" s="8"/>
      <c r="S44" s="8"/>
      <c r="T44" s="58"/>
      <c r="U44" s="8"/>
      <c r="V44" s="8"/>
      <c r="W44" s="8"/>
      <c r="X44" s="8"/>
      <c r="Y44" s="8"/>
      <c r="Z44" s="8"/>
      <c r="AA44" s="8"/>
      <c r="AB44" s="8"/>
      <c r="AC44" s="8"/>
    </row>
    <row r="45" spans="1:38" x14ac:dyDescent="0.2">
      <c r="A45" s="9">
        <v>27</v>
      </c>
      <c r="B45" s="9" t="s">
        <v>26</v>
      </c>
      <c r="C45" s="9">
        <v>2007</v>
      </c>
      <c r="D45" s="10" t="s">
        <v>12</v>
      </c>
      <c r="E45" s="10" t="s">
        <v>58</v>
      </c>
      <c r="F45" s="10">
        <f t="shared" si="2"/>
        <v>1</v>
      </c>
      <c r="G45" s="10">
        <f t="shared" si="3"/>
        <v>8</v>
      </c>
      <c r="H45" s="9">
        <v>1</v>
      </c>
      <c r="I45" s="9" t="s">
        <v>27</v>
      </c>
      <c r="J45" s="9">
        <v>2007</v>
      </c>
      <c r="K45" s="34">
        <v>3079.56</v>
      </c>
      <c r="L45" s="9"/>
      <c r="M45" s="9">
        <v>40</v>
      </c>
      <c r="N45" s="9">
        <v>50</v>
      </c>
      <c r="O45" s="9"/>
      <c r="P45" s="9"/>
      <c r="Q45" s="9"/>
      <c r="R45" s="10"/>
      <c r="S45" s="10"/>
      <c r="T45" s="55"/>
      <c r="U45" s="10"/>
      <c r="V45" s="10"/>
      <c r="W45" s="10"/>
      <c r="X45" s="10"/>
      <c r="Y45" s="10"/>
      <c r="Z45" s="10"/>
      <c r="AA45" s="10"/>
      <c r="AB45" s="10"/>
      <c r="AC45" s="10"/>
    </row>
    <row r="46" spans="1:38" x14ac:dyDescent="0.2">
      <c r="A46" s="11">
        <v>10</v>
      </c>
      <c r="B46" s="11" t="s">
        <v>27</v>
      </c>
      <c r="C46" s="11">
        <v>2007</v>
      </c>
      <c r="D46" s="12" t="s">
        <v>7</v>
      </c>
      <c r="E46" s="12" t="s">
        <v>58</v>
      </c>
      <c r="F46" s="12">
        <f t="shared" si="2"/>
        <v>11</v>
      </c>
      <c r="G46" s="12">
        <f t="shared" si="3"/>
        <v>11</v>
      </c>
      <c r="H46" s="11">
        <v>1</v>
      </c>
      <c r="I46" s="11" t="s">
        <v>30</v>
      </c>
      <c r="J46" s="11">
        <v>2007</v>
      </c>
      <c r="K46" s="35">
        <v>5164.37</v>
      </c>
      <c r="L46" s="11">
        <v>10</v>
      </c>
      <c r="M46" s="11"/>
      <c r="N46" s="11"/>
      <c r="O46" s="11"/>
      <c r="P46" s="11"/>
      <c r="Q46" s="11"/>
      <c r="R46" s="12"/>
      <c r="S46" s="12"/>
      <c r="T46" s="54"/>
      <c r="U46" s="12"/>
      <c r="V46" s="12"/>
      <c r="W46" s="12"/>
      <c r="X46" s="12"/>
      <c r="Y46" s="12"/>
      <c r="Z46" s="12"/>
      <c r="AA46" s="12"/>
      <c r="AB46" s="12"/>
      <c r="AC46" s="12"/>
    </row>
    <row r="47" spans="1:38" x14ac:dyDescent="0.2">
      <c r="A47" s="11"/>
      <c r="B47" s="11"/>
      <c r="C47" s="11"/>
      <c r="D47" s="12" t="s">
        <v>6</v>
      </c>
      <c r="E47" s="12" t="s">
        <v>58</v>
      </c>
      <c r="F47" s="12">
        <f t="shared" si="2"/>
        <v>12</v>
      </c>
      <c r="G47" s="12">
        <f t="shared" si="3"/>
        <v>11</v>
      </c>
      <c r="H47" s="11">
        <v>1</v>
      </c>
      <c r="I47" s="11" t="s">
        <v>30</v>
      </c>
      <c r="J47" s="11">
        <v>2007</v>
      </c>
      <c r="K47" s="35">
        <v>5000</v>
      </c>
      <c r="L47" s="11"/>
      <c r="M47" s="11"/>
      <c r="N47" s="11"/>
      <c r="O47" s="11">
        <v>20</v>
      </c>
      <c r="P47" s="11"/>
      <c r="Q47" s="11"/>
      <c r="R47" s="12"/>
      <c r="S47" s="12"/>
      <c r="T47" s="54"/>
      <c r="U47" s="12"/>
      <c r="V47" s="12"/>
      <c r="W47" s="12"/>
      <c r="X47" s="12"/>
      <c r="Y47" s="12"/>
      <c r="Z47" s="12"/>
      <c r="AA47" s="12"/>
      <c r="AB47" s="12"/>
      <c r="AC47" s="12"/>
    </row>
    <row r="48" spans="1:38" x14ac:dyDescent="0.2">
      <c r="A48" s="11"/>
      <c r="B48" s="11"/>
      <c r="C48" s="11"/>
      <c r="D48" s="12" t="s">
        <v>11</v>
      </c>
      <c r="E48" s="12" t="s">
        <v>58</v>
      </c>
      <c r="F48" s="12">
        <f t="shared" si="2"/>
        <v>23</v>
      </c>
      <c r="G48" s="12">
        <f t="shared" si="3"/>
        <v>11</v>
      </c>
      <c r="H48" s="11">
        <v>1</v>
      </c>
      <c r="I48" s="11" t="s">
        <v>30</v>
      </c>
      <c r="J48" s="11">
        <v>2007</v>
      </c>
      <c r="K48" s="35">
        <v>7433.25</v>
      </c>
      <c r="L48" s="11"/>
      <c r="M48" s="11">
        <v>20</v>
      </c>
      <c r="N48" s="11"/>
      <c r="O48" s="11"/>
      <c r="P48" s="11"/>
      <c r="Q48" s="11"/>
      <c r="R48" s="12"/>
      <c r="S48" s="12"/>
      <c r="T48" s="54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x14ac:dyDescent="0.2">
      <c r="A49" s="11"/>
      <c r="B49" s="11"/>
      <c r="C49" s="11"/>
      <c r="D49" s="12" t="s">
        <v>8</v>
      </c>
      <c r="E49" s="12" t="s">
        <v>58</v>
      </c>
      <c r="F49" s="12">
        <f t="shared" si="2"/>
        <v>35</v>
      </c>
      <c r="G49" s="12">
        <f t="shared" si="3"/>
        <v>11</v>
      </c>
      <c r="H49" s="11">
        <v>1</v>
      </c>
      <c r="I49" s="11" t="s">
        <v>30</v>
      </c>
      <c r="J49" s="11">
        <v>2007</v>
      </c>
      <c r="K49" s="35">
        <v>7067.75</v>
      </c>
      <c r="L49" s="11"/>
      <c r="M49" s="11">
        <v>20</v>
      </c>
      <c r="N49" s="11"/>
      <c r="O49" s="11"/>
      <c r="P49" s="11"/>
      <c r="Q49" s="11"/>
      <c r="R49" s="12"/>
      <c r="S49" s="12"/>
      <c r="T49" s="54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x14ac:dyDescent="0.2">
      <c r="A50" s="9">
        <v>24</v>
      </c>
      <c r="B50" s="9" t="s">
        <v>27</v>
      </c>
      <c r="C50" s="9">
        <v>2007</v>
      </c>
      <c r="D50" s="10" t="s">
        <v>35</v>
      </c>
      <c r="E50" s="10" t="s">
        <v>58</v>
      </c>
      <c r="F50" s="10">
        <f t="shared" si="2"/>
        <v>1</v>
      </c>
      <c r="G50" s="10">
        <f t="shared" si="3"/>
        <v>9</v>
      </c>
      <c r="H50" s="9">
        <v>1</v>
      </c>
      <c r="I50" s="9" t="s">
        <v>28</v>
      </c>
      <c r="J50" s="9">
        <v>2007</v>
      </c>
      <c r="K50" s="34">
        <v>531</v>
      </c>
      <c r="L50" s="9"/>
      <c r="M50" s="9"/>
      <c r="N50" s="9">
        <v>90</v>
      </c>
      <c r="O50" s="9"/>
      <c r="P50" s="9"/>
      <c r="Q50" s="9"/>
      <c r="R50" s="10"/>
      <c r="S50" s="10"/>
      <c r="T50" s="55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x14ac:dyDescent="0.2">
      <c r="A51" s="7">
        <v>26</v>
      </c>
      <c r="B51" s="7" t="s">
        <v>28</v>
      </c>
      <c r="C51" s="7">
        <v>2007</v>
      </c>
      <c r="D51" s="8" t="s">
        <v>35</v>
      </c>
      <c r="E51" s="8" t="s">
        <v>58</v>
      </c>
      <c r="F51" s="8">
        <f t="shared" si="2"/>
        <v>1</v>
      </c>
      <c r="G51" s="8">
        <f t="shared" si="3"/>
        <v>10</v>
      </c>
      <c r="H51" s="7">
        <v>1</v>
      </c>
      <c r="I51" s="7" t="s">
        <v>29</v>
      </c>
      <c r="J51" s="7">
        <v>2007</v>
      </c>
      <c r="K51" s="33">
        <v>531</v>
      </c>
      <c r="L51" s="7"/>
      <c r="M51" s="7"/>
      <c r="N51" s="7">
        <v>90</v>
      </c>
      <c r="O51" s="7"/>
      <c r="P51" s="7"/>
      <c r="Q51" s="7"/>
      <c r="R51" s="8"/>
      <c r="S51" s="8"/>
      <c r="T51" s="5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2">
      <c r="A52" s="9">
        <v>2</v>
      </c>
      <c r="B52" s="9" t="s">
        <v>29</v>
      </c>
      <c r="C52" s="9">
        <v>2007</v>
      </c>
      <c r="D52" s="10" t="s">
        <v>7</v>
      </c>
      <c r="E52" s="10" t="s">
        <v>58</v>
      </c>
      <c r="F52" s="10">
        <f t="shared" si="2"/>
        <v>11</v>
      </c>
      <c r="G52" s="10">
        <f t="shared" si="3"/>
        <v>11</v>
      </c>
      <c r="H52" s="9">
        <v>1</v>
      </c>
      <c r="I52" s="9" t="s">
        <v>30</v>
      </c>
      <c r="J52" s="9">
        <v>2007</v>
      </c>
      <c r="K52" s="34">
        <v>3578.64</v>
      </c>
      <c r="L52" s="9">
        <v>5</v>
      </c>
      <c r="M52" s="9"/>
      <c r="N52" s="9"/>
      <c r="O52" s="9"/>
      <c r="P52" s="9">
        <v>45</v>
      </c>
      <c r="Q52" s="9"/>
      <c r="R52" s="10"/>
      <c r="S52" s="10"/>
      <c r="T52" s="55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x14ac:dyDescent="0.2">
      <c r="A53" s="9"/>
      <c r="B53" s="9"/>
      <c r="C53" s="9"/>
      <c r="D53" s="10" t="s">
        <v>39</v>
      </c>
      <c r="E53" s="10" t="s">
        <v>59</v>
      </c>
      <c r="F53" s="10">
        <f t="shared" si="2"/>
        <v>12</v>
      </c>
      <c r="G53" s="10">
        <f t="shared" si="3"/>
        <v>11</v>
      </c>
      <c r="H53" s="9">
        <v>1</v>
      </c>
      <c r="I53" s="9" t="s">
        <v>30</v>
      </c>
      <c r="J53" s="9">
        <v>2007</v>
      </c>
      <c r="K53" s="34">
        <v>104</v>
      </c>
      <c r="L53" s="9"/>
      <c r="M53" s="9">
        <v>15</v>
      </c>
      <c r="N53" s="9"/>
      <c r="O53" s="9"/>
      <c r="P53" s="9"/>
      <c r="Q53" s="9"/>
      <c r="R53" s="10"/>
      <c r="S53" s="10"/>
      <c r="T53" s="55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x14ac:dyDescent="0.2">
      <c r="A54" s="9"/>
      <c r="B54" s="9"/>
      <c r="C54" s="9"/>
      <c r="D54" s="10" t="s">
        <v>6</v>
      </c>
      <c r="E54" s="10" t="s">
        <v>58</v>
      </c>
      <c r="F54" s="10">
        <f t="shared" si="2"/>
        <v>12</v>
      </c>
      <c r="G54" s="10">
        <f t="shared" si="3"/>
        <v>11</v>
      </c>
      <c r="H54" s="9">
        <v>1</v>
      </c>
      <c r="I54" s="9" t="s">
        <v>30</v>
      </c>
      <c r="J54" s="9">
        <v>2007</v>
      </c>
      <c r="K54" s="34">
        <v>2684.57</v>
      </c>
      <c r="L54" s="9"/>
      <c r="M54" s="9"/>
      <c r="N54" s="9">
        <v>50</v>
      </c>
      <c r="O54" s="9">
        <v>20</v>
      </c>
      <c r="P54" s="9"/>
      <c r="Q54" s="9"/>
      <c r="R54" s="10"/>
      <c r="S54" s="10"/>
      <c r="T54" s="55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x14ac:dyDescent="0.2">
      <c r="A55" s="9"/>
      <c r="B55" s="9"/>
      <c r="C55" s="9"/>
      <c r="D55" s="10" t="s">
        <v>13</v>
      </c>
      <c r="E55" s="10" t="s">
        <v>59</v>
      </c>
      <c r="F55" s="10">
        <f t="shared" si="2"/>
        <v>13</v>
      </c>
      <c r="G55" s="10">
        <f t="shared" si="3"/>
        <v>11</v>
      </c>
      <c r="H55" s="9">
        <v>1</v>
      </c>
      <c r="I55" s="9" t="s">
        <v>30</v>
      </c>
      <c r="J55" s="9">
        <v>2007</v>
      </c>
      <c r="K55" s="34">
        <v>100.8</v>
      </c>
      <c r="L55" s="9"/>
      <c r="M55" s="9"/>
      <c r="N55" s="9">
        <v>5</v>
      </c>
      <c r="O55" s="9"/>
      <c r="P55" s="9"/>
      <c r="Q55" s="9"/>
      <c r="R55" s="10"/>
      <c r="S55" s="10"/>
      <c r="T55" s="55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x14ac:dyDescent="0.2">
      <c r="A56" s="7">
        <v>25</v>
      </c>
      <c r="B56" s="7" t="s">
        <v>29</v>
      </c>
      <c r="C56" s="7">
        <v>2007</v>
      </c>
      <c r="D56" s="8" t="s">
        <v>16</v>
      </c>
      <c r="E56" s="8" t="s">
        <v>59</v>
      </c>
      <c r="F56" s="8">
        <f t="shared" si="2"/>
        <v>1</v>
      </c>
      <c r="G56" s="8">
        <f t="shared" si="3"/>
        <v>11</v>
      </c>
      <c r="H56" s="7">
        <v>1</v>
      </c>
      <c r="I56" s="7" t="s">
        <v>30</v>
      </c>
      <c r="J56" s="7">
        <v>2007</v>
      </c>
      <c r="K56" s="33">
        <v>500</v>
      </c>
      <c r="L56" s="7"/>
      <c r="M56" s="7">
        <v>5</v>
      </c>
      <c r="N56" s="7"/>
      <c r="O56" s="7"/>
      <c r="P56" s="7"/>
      <c r="Q56" s="7"/>
      <c r="R56" s="8"/>
      <c r="S56" s="8"/>
      <c r="T56" s="5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2">
      <c r="A57" s="7"/>
      <c r="B57" s="7"/>
      <c r="C57" s="7"/>
      <c r="D57" s="8" t="s">
        <v>12</v>
      </c>
      <c r="E57" s="8" t="s">
        <v>58</v>
      </c>
      <c r="F57" s="8">
        <f t="shared" si="2"/>
        <v>1</v>
      </c>
      <c r="G57" s="8">
        <f t="shared" si="3"/>
        <v>11</v>
      </c>
      <c r="H57" s="7">
        <v>1</v>
      </c>
      <c r="I57" s="7" t="s">
        <v>30</v>
      </c>
      <c r="J57" s="7">
        <v>2007</v>
      </c>
      <c r="K57" s="33">
        <v>5156.1000000000004</v>
      </c>
      <c r="L57" s="7"/>
      <c r="M57" s="7">
        <v>30</v>
      </c>
      <c r="N57" s="7">
        <v>20</v>
      </c>
      <c r="O57" s="7"/>
      <c r="P57" s="7"/>
      <c r="Q57" s="7"/>
      <c r="R57" s="8"/>
      <c r="S57" s="8"/>
      <c r="T57" s="5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2">
      <c r="A58" s="9">
        <v>23</v>
      </c>
      <c r="B58" s="9" t="s">
        <v>30</v>
      </c>
      <c r="C58" s="9">
        <v>2007</v>
      </c>
      <c r="D58" s="10" t="s">
        <v>15</v>
      </c>
      <c r="E58" s="10" t="s">
        <v>59</v>
      </c>
      <c r="F58" s="10">
        <f t="shared" si="2"/>
        <v>1</v>
      </c>
      <c r="G58" s="10">
        <f t="shared" si="3"/>
        <v>12</v>
      </c>
      <c r="H58" s="9">
        <v>1</v>
      </c>
      <c r="I58" s="9" t="s">
        <v>31</v>
      </c>
      <c r="J58" s="9">
        <v>2007</v>
      </c>
      <c r="K58" s="34">
        <v>2095.33</v>
      </c>
      <c r="L58" s="9"/>
      <c r="M58" s="9">
        <v>15</v>
      </c>
      <c r="N58" s="9"/>
      <c r="O58" s="9">
        <v>30</v>
      </c>
      <c r="P58" s="9"/>
      <c r="Q58" s="9"/>
      <c r="R58" s="10"/>
      <c r="S58" s="10"/>
      <c r="T58" s="55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x14ac:dyDescent="0.2">
      <c r="A59" s="7">
        <v>19</v>
      </c>
      <c r="B59" s="7" t="s">
        <v>31</v>
      </c>
      <c r="C59" s="7">
        <v>2007</v>
      </c>
      <c r="D59" s="8" t="s">
        <v>16</v>
      </c>
      <c r="E59" s="8" t="s">
        <v>59</v>
      </c>
      <c r="F59" s="8">
        <f t="shared" si="2"/>
        <v>1</v>
      </c>
      <c r="G59" s="8">
        <f t="shared" si="3"/>
        <v>1</v>
      </c>
      <c r="H59" s="7">
        <v>1</v>
      </c>
      <c r="I59" s="7" t="s">
        <v>20</v>
      </c>
      <c r="J59" s="7">
        <v>2008</v>
      </c>
      <c r="K59" s="33">
        <v>501.5</v>
      </c>
      <c r="L59" s="7"/>
      <c r="M59" s="7">
        <v>10</v>
      </c>
      <c r="N59" s="7"/>
      <c r="O59" s="7"/>
      <c r="P59" s="7"/>
      <c r="Q59" s="7"/>
      <c r="R59" s="8"/>
      <c r="S59" s="8"/>
      <c r="T59" s="5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2">
      <c r="A60" s="8"/>
      <c r="B60" s="8"/>
      <c r="C60" s="8"/>
      <c r="D60" s="8" t="s">
        <v>12</v>
      </c>
      <c r="E60" s="8" t="s">
        <v>58</v>
      </c>
      <c r="F60" s="8">
        <f t="shared" si="2"/>
        <v>1</v>
      </c>
      <c r="G60" s="8">
        <f t="shared" si="3"/>
        <v>1</v>
      </c>
      <c r="H60" s="7">
        <v>1</v>
      </c>
      <c r="I60" s="7" t="s">
        <v>20</v>
      </c>
      <c r="J60" s="7">
        <v>2008</v>
      </c>
      <c r="K60" s="33">
        <v>2012.5</v>
      </c>
      <c r="L60" s="7"/>
      <c r="M60" s="7">
        <v>20</v>
      </c>
      <c r="N60" s="7"/>
      <c r="O60" s="7"/>
      <c r="P60" s="7"/>
      <c r="Q60" s="7"/>
      <c r="R60" s="8"/>
      <c r="S60" s="8"/>
      <c r="T60" s="5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2">
      <c r="A61" s="9">
        <v>25</v>
      </c>
      <c r="B61" s="9" t="s">
        <v>20</v>
      </c>
      <c r="C61" s="9">
        <v>2008</v>
      </c>
      <c r="D61" s="10" t="s">
        <v>12</v>
      </c>
      <c r="E61" s="10" t="s">
        <v>58</v>
      </c>
      <c r="F61" s="10">
        <f t="shared" si="2"/>
        <v>1</v>
      </c>
      <c r="G61" s="10">
        <f t="shared" si="3"/>
        <v>2</v>
      </c>
      <c r="H61" s="9">
        <v>1</v>
      </c>
      <c r="I61" s="9" t="s">
        <v>21</v>
      </c>
      <c r="J61" s="9">
        <v>2008</v>
      </c>
      <c r="K61" s="34">
        <v>2012.5</v>
      </c>
      <c r="L61" s="9"/>
      <c r="M61" s="9">
        <v>20</v>
      </c>
      <c r="N61" s="9"/>
      <c r="O61" s="9"/>
      <c r="P61" s="9"/>
      <c r="Q61" s="9"/>
      <c r="R61" s="10"/>
      <c r="S61" s="10"/>
      <c r="T61" s="55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x14ac:dyDescent="0.2">
      <c r="A62" s="7">
        <v>22</v>
      </c>
      <c r="B62" s="7" t="s">
        <v>21</v>
      </c>
      <c r="C62" s="7">
        <v>2008</v>
      </c>
      <c r="D62" s="8" t="s">
        <v>35</v>
      </c>
      <c r="E62" s="8" t="s">
        <v>58</v>
      </c>
      <c r="F62" s="8">
        <f t="shared" si="2"/>
        <v>1</v>
      </c>
      <c r="G62" s="8">
        <f t="shared" si="3"/>
        <v>3</v>
      </c>
      <c r="H62" s="7">
        <v>1</v>
      </c>
      <c r="I62" s="7" t="s">
        <v>22</v>
      </c>
      <c r="J62" s="7">
        <v>2008</v>
      </c>
      <c r="K62" s="33">
        <v>501</v>
      </c>
      <c r="L62" s="7"/>
      <c r="M62" s="7"/>
      <c r="N62" s="7">
        <v>40</v>
      </c>
      <c r="O62" s="7"/>
      <c r="P62" s="7"/>
      <c r="Q62" s="7"/>
      <c r="R62" s="8"/>
      <c r="S62" s="8"/>
      <c r="T62" s="58"/>
      <c r="U62" s="8"/>
      <c r="V62" s="8"/>
      <c r="W62" s="8"/>
      <c r="X62" s="8"/>
      <c r="Y62" s="8"/>
      <c r="Z62" s="8"/>
      <c r="AA62" s="8"/>
      <c r="AB62" s="8"/>
      <c r="AC62" s="8"/>
    </row>
    <row r="63" spans="1:29" x14ac:dyDescent="0.2">
      <c r="A63" s="9">
        <v>26</v>
      </c>
      <c r="B63" s="9" t="s">
        <v>22</v>
      </c>
      <c r="C63" s="9">
        <v>2008</v>
      </c>
      <c r="D63" s="10" t="s">
        <v>35</v>
      </c>
      <c r="E63" s="10" t="s">
        <v>58</v>
      </c>
      <c r="F63" s="10">
        <f t="shared" si="2"/>
        <v>1</v>
      </c>
      <c r="G63" s="10">
        <f t="shared" si="3"/>
        <v>4</v>
      </c>
      <c r="H63" s="9">
        <v>1</v>
      </c>
      <c r="I63" s="9" t="s">
        <v>23</v>
      </c>
      <c r="J63" s="9">
        <v>2008</v>
      </c>
      <c r="K63" s="34">
        <v>661.54</v>
      </c>
      <c r="L63" s="9"/>
      <c r="M63" s="9">
        <v>130</v>
      </c>
      <c r="N63" s="9"/>
      <c r="O63" s="9"/>
      <c r="P63" s="9"/>
      <c r="Q63" s="9"/>
      <c r="R63" s="10"/>
      <c r="S63" s="10"/>
      <c r="T63" s="55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x14ac:dyDescent="0.2">
      <c r="A64" s="7">
        <v>25</v>
      </c>
      <c r="B64" s="7" t="s">
        <v>23</v>
      </c>
      <c r="C64" s="7">
        <v>2008</v>
      </c>
      <c r="D64" s="8" t="s">
        <v>35</v>
      </c>
      <c r="E64" s="8" t="s">
        <v>58</v>
      </c>
      <c r="F64" s="8">
        <f t="shared" si="2"/>
        <v>1</v>
      </c>
      <c r="G64" s="8">
        <f t="shared" si="3"/>
        <v>5</v>
      </c>
      <c r="H64" s="7">
        <v>1</v>
      </c>
      <c r="I64" s="7" t="s">
        <v>24</v>
      </c>
      <c r="J64" s="7">
        <v>2008</v>
      </c>
      <c r="K64" s="33">
        <v>502</v>
      </c>
      <c r="L64" s="7"/>
      <c r="M64" s="7">
        <v>130</v>
      </c>
      <c r="N64" s="7"/>
      <c r="O64" s="7"/>
      <c r="P64" s="7"/>
      <c r="Q64" s="7"/>
      <c r="R64" s="8"/>
      <c r="S64" s="8"/>
      <c r="T64" s="5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">
      <c r="A65" s="9">
        <v>21</v>
      </c>
      <c r="B65" s="9" t="s">
        <v>24</v>
      </c>
      <c r="C65" s="9">
        <v>2008</v>
      </c>
      <c r="D65" s="10" t="s">
        <v>7</v>
      </c>
      <c r="E65" s="10" t="s">
        <v>58</v>
      </c>
      <c r="F65" s="10">
        <f t="shared" si="2"/>
        <v>11</v>
      </c>
      <c r="G65" s="10">
        <f t="shared" si="3"/>
        <v>11</v>
      </c>
      <c r="H65" s="9">
        <v>1</v>
      </c>
      <c r="I65" s="9" t="s">
        <v>30</v>
      </c>
      <c r="J65" s="9">
        <v>2008</v>
      </c>
      <c r="K65" s="34">
        <v>3365.88</v>
      </c>
      <c r="L65" s="9">
        <v>40</v>
      </c>
      <c r="M65" s="9"/>
      <c r="N65" s="9"/>
      <c r="O65" s="9"/>
      <c r="P65" s="9"/>
      <c r="Q65" s="9"/>
      <c r="R65" s="10"/>
      <c r="S65" s="10"/>
      <c r="T65" s="55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x14ac:dyDescent="0.2">
      <c r="A66" s="9"/>
      <c r="B66" s="9"/>
      <c r="C66" s="9"/>
      <c r="D66" s="10" t="s">
        <v>11</v>
      </c>
      <c r="E66" s="10" t="s">
        <v>58</v>
      </c>
      <c r="F66" s="10">
        <f t="shared" si="2"/>
        <v>23</v>
      </c>
      <c r="G66" s="10">
        <f t="shared" si="3"/>
        <v>11</v>
      </c>
      <c r="H66" s="9">
        <v>1</v>
      </c>
      <c r="I66" s="9" t="s">
        <v>30</v>
      </c>
      <c r="J66" s="9">
        <v>2008</v>
      </c>
      <c r="K66" s="34">
        <v>2547.67</v>
      </c>
      <c r="L66" s="9">
        <v>15</v>
      </c>
      <c r="M66" s="9"/>
      <c r="N66" s="9"/>
      <c r="O66" s="9"/>
      <c r="P66" s="9"/>
      <c r="Q66" s="9"/>
      <c r="R66" s="10"/>
      <c r="S66" s="10"/>
      <c r="T66" s="55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x14ac:dyDescent="0.2">
      <c r="A67" s="7">
        <v>23</v>
      </c>
      <c r="B67" s="7" t="s">
        <v>24</v>
      </c>
      <c r="C67" s="7">
        <v>2008</v>
      </c>
      <c r="D67" s="8" t="s">
        <v>35</v>
      </c>
      <c r="E67" s="8" t="s">
        <v>58</v>
      </c>
      <c r="F67" s="8">
        <f t="shared" si="2"/>
        <v>1</v>
      </c>
      <c r="G67" s="8">
        <f t="shared" si="3"/>
        <v>6</v>
      </c>
      <c r="H67" s="7">
        <v>1</v>
      </c>
      <c r="I67" s="7" t="s">
        <v>25</v>
      </c>
      <c r="J67" s="7">
        <v>2008</v>
      </c>
      <c r="K67" s="33">
        <v>502</v>
      </c>
      <c r="L67" s="7"/>
      <c r="M67" s="7">
        <v>100</v>
      </c>
      <c r="N67" s="7"/>
      <c r="O67" s="7"/>
      <c r="P67" s="7"/>
      <c r="Q67" s="7"/>
      <c r="R67" s="8"/>
      <c r="S67" s="8"/>
      <c r="T67" s="5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">
      <c r="A68" s="9">
        <v>24</v>
      </c>
      <c r="B68" s="9" t="s">
        <v>25</v>
      </c>
      <c r="C68" s="9">
        <v>2008</v>
      </c>
      <c r="D68" s="10" t="s">
        <v>10</v>
      </c>
      <c r="E68" s="10" t="s">
        <v>58</v>
      </c>
      <c r="F68" s="10">
        <f t="shared" si="2"/>
        <v>36</v>
      </c>
      <c r="G68" s="10">
        <f t="shared" si="3"/>
        <v>10</v>
      </c>
      <c r="H68" s="9">
        <v>1</v>
      </c>
      <c r="I68" s="9" t="s">
        <v>29</v>
      </c>
      <c r="J68" s="9">
        <v>2008</v>
      </c>
      <c r="K68" s="34">
        <v>2290.15</v>
      </c>
      <c r="L68" s="9">
        <v>5</v>
      </c>
      <c r="M68" s="9"/>
      <c r="N68" s="9"/>
      <c r="O68" s="9"/>
      <c r="P68" s="9"/>
      <c r="Q68" s="9"/>
      <c r="R68" s="10"/>
      <c r="S68" s="10"/>
      <c r="T68" s="55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x14ac:dyDescent="0.2">
      <c r="A69" s="9"/>
      <c r="B69" s="9"/>
      <c r="C69" s="9"/>
      <c r="D69" s="10" t="s">
        <v>7</v>
      </c>
      <c r="E69" s="10" t="s">
        <v>58</v>
      </c>
      <c r="F69" s="10">
        <f t="shared" si="2"/>
        <v>11</v>
      </c>
      <c r="G69" s="10">
        <f t="shared" si="3"/>
        <v>11</v>
      </c>
      <c r="H69" s="9">
        <v>1</v>
      </c>
      <c r="I69" s="9" t="s">
        <v>30</v>
      </c>
      <c r="J69" s="9">
        <v>2008</v>
      </c>
      <c r="K69" s="34">
        <v>2555.6</v>
      </c>
      <c r="L69" s="9"/>
      <c r="M69" s="9"/>
      <c r="N69" s="9">
        <v>25</v>
      </c>
      <c r="O69" s="9"/>
      <c r="P69" s="9"/>
      <c r="Q69" s="9"/>
      <c r="R69" s="10"/>
      <c r="S69" s="10"/>
      <c r="T69" s="55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x14ac:dyDescent="0.2">
      <c r="A70" s="7">
        <v>25</v>
      </c>
      <c r="B70" s="7" t="s">
        <v>28</v>
      </c>
      <c r="C70" s="7">
        <v>2008</v>
      </c>
      <c r="D70" s="8" t="s">
        <v>44</v>
      </c>
      <c r="E70" s="8" t="s">
        <v>59</v>
      </c>
      <c r="F70" s="8">
        <f t="shared" si="2"/>
        <v>0</v>
      </c>
      <c r="G70" s="8">
        <f t="shared" si="3"/>
        <v>10</v>
      </c>
      <c r="H70" s="7">
        <v>1</v>
      </c>
      <c r="I70" s="7" t="s">
        <v>29</v>
      </c>
      <c r="J70" s="7">
        <v>2008</v>
      </c>
      <c r="K70" s="33">
        <v>701.6</v>
      </c>
      <c r="L70" s="7"/>
      <c r="M70" s="7">
        <v>65</v>
      </c>
      <c r="N70" s="7"/>
      <c r="O70" s="7">
        <v>10</v>
      </c>
      <c r="P70" s="7"/>
      <c r="Q70" s="7"/>
      <c r="R70" s="8"/>
      <c r="S70" s="8"/>
      <c r="T70" s="58"/>
      <c r="U70" s="8"/>
      <c r="V70" s="8"/>
      <c r="W70" s="8"/>
      <c r="X70" s="8"/>
      <c r="Y70" s="8"/>
      <c r="Z70" s="8"/>
      <c r="AA70" s="8"/>
      <c r="AB70" s="8"/>
      <c r="AC70" s="8"/>
    </row>
    <row r="71" spans="1:29" x14ac:dyDescent="0.2">
      <c r="A71" s="9">
        <v>24</v>
      </c>
      <c r="B71" s="9" t="s">
        <v>29</v>
      </c>
      <c r="C71" s="9">
        <v>2008</v>
      </c>
      <c r="D71" s="10" t="s">
        <v>44</v>
      </c>
      <c r="E71" s="10" t="s">
        <v>59</v>
      </c>
      <c r="F71" s="10">
        <f t="shared" si="2"/>
        <v>0</v>
      </c>
      <c r="G71" s="10">
        <f t="shared" si="3"/>
        <v>11</v>
      </c>
      <c r="H71" s="9">
        <v>1</v>
      </c>
      <c r="I71" s="9" t="s">
        <v>30</v>
      </c>
      <c r="J71" s="9">
        <v>2008</v>
      </c>
      <c r="K71" s="34">
        <v>1458.25</v>
      </c>
      <c r="L71" s="9"/>
      <c r="M71" s="9">
        <v>50</v>
      </c>
      <c r="N71" s="9">
        <v>30</v>
      </c>
      <c r="O71" s="9"/>
      <c r="P71" s="9"/>
      <c r="Q71" s="9"/>
      <c r="R71" s="10"/>
      <c r="S71" s="10"/>
      <c r="T71" s="55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x14ac:dyDescent="0.2">
      <c r="A72" s="7">
        <v>24</v>
      </c>
      <c r="B72" s="7" t="s">
        <v>30</v>
      </c>
      <c r="C72" s="7">
        <v>2008</v>
      </c>
      <c r="D72" s="8" t="s">
        <v>12</v>
      </c>
      <c r="E72" s="8" t="s">
        <v>58</v>
      </c>
      <c r="F72" s="8">
        <f t="shared" ref="F72:F133" si="4">SUMIF($AP$5:$AP$26,D72,$AU$5:$AU$26)</f>
        <v>1</v>
      </c>
      <c r="G72" s="8">
        <f t="shared" ref="G72:G133" si="5">SUMIF($AM$5:$AM$26,I72,$AL$5:$AL$26)</f>
        <v>12</v>
      </c>
      <c r="H72" s="7">
        <v>1</v>
      </c>
      <c r="I72" s="7" t="s">
        <v>31</v>
      </c>
      <c r="J72" s="7">
        <v>2008</v>
      </c>
      <c r="K72" s="33">
        <v>2078</v>
      </c>
      <c r="L72" s="7"/>
      <c r="M72" s="7"/>
      <c r="N72" s="7"/>
      <c r="O72" s="7"/>
      <c r="P72" s="7"/>
      <c r="Q72" s="7">
        <v>10</v>
      </c>
      <c r="R72" s="8"/>
      <c r="S72" s="8"/>
      <c r="T72" s="58"/>
      <c r="U72" s="8"/>
      <c r="V72" s="8"/>
      <c r="W72" s="8"/>
      <c r="X72" s="8"/>
      <c r="Y72" s="8"/>
      <c r="Z72" s="8"/>
      <c r="AA72" s="8"/>
      <c r="AB72" s="8"/>
      <c r="AC72" s="8"/>
    </row>
    <row r="73" spans="1:29" x14ac:dyDescent="0.2">
      <c r="A73" s="9">
        <v>24</v>
      </c>
      <c r="B73" s="9" t="s">
        <v>30</v>
      </c>
      <c r="C73" s="9">
        <v>2008</v>
      </c>
      <c r="D73" s="10" t="s">
        <v>35</v>
      </c>
      <c r="E73" s="10" t="s">
        <v>58</v>
      </c>
      <c r="F73" s="10">
        <f t="shared" si="4"/>
        <v>1</v>
      </c>
      <c r="G73" s="10">
        <f t="shared" si="5"/>
        <v>12</v>
      </c>
      <c r="H73" s="9">
        <v>1</v>
      </c>
      <c r="I73" s="9" t="s">
        <v>31</v>
      </c>
      <c r="J73" s="9">
        <v>2008</v>
      </c>
      <c r="K73" s="34">
        <v>200</v>
      </c>
      <c r="L73" s="9"/>
      <c r="M73" s="9"/>
      <c r="N73" s="9"/>
      <c r="O73" s="9"/>
      <c r="P73" s="9">
        <v>90</v>
      </c>
      <c r="Q73" s="9"/>
      <c r="R73" s="10"/>
      <c r="S73" s="10"/>
      <c r="T73" s="55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x14ac:dyDescent="0.2">
      <c r="A74" s="7">
        <v>24</v>
      </c>
      <c r="B74" s="7" t="s">
        <v>30</v>
      </c>
      <c r="C74" s="7">
        <v>2008</v>
      </c>
      <c r="D74" s="8" t="s">
        <v>15</v>
      </c>
      <c r="E74" s="8" t="s">
        <v>59</v>
      </c>
      <c r="F74" s="8">
        <f t="shared" si="4"/>
        <v>1</v>
      </c>
      <c r="G74" s="8">
        <f t="shared" si="5"/>
        <v>12</v>
      </c>
      <c r="H74" s="7">
        <v>1</v>
      </c>
      <c r="I74" s="7" t="s">
        <v>31</v>
      </c>
      <c r="J74" s="7">
        <v>2008</v>
      </c>
      <c r="K74" s="33">
        <v>2078</v>
      </c>
      <c r="L74" s="7"/>
      <c r="M74" s="7"/>
      <c r="N74" s="7"/>
      <c r="O74" s="7"/>
      <c r="P74" s="7"/>
      <c r="Q74" s="7">
        <v>10</v>
      </c>
      <c r="R74" s="8"/>
      <c r="S74" s="8"/>
      <c r="T74" s="58"/>
      <c r="U74" s="8"/>
      <c r="V74" s="8"/>
      <c r="W74" s="8"/>
      <c r="X74" s="8"/>
      <c r="Y74" s="8"/>
      <c r="Z74" s="8"/>
      <c r="AA74" s="8"/>
      <c r="AB74" s="8"/>
      <c r="AC74" s="8"/>
    </row>
    <row r="75" spans="1:29" x14ac:dyDescent="0.2">
      <c r="A75" s="9">
        <v>24</v>
      </c>
      <c r="B75" s="9" t="s">
        <v>30</v>
      </c>
      <c r="C75" s="9">
        <v>2008</v>
      </c>
      <c r="D75" s="10" t="s">
        <v>16</v>
      </c>
      <c r="E75" s="10" t="s">
        <v>59</v>
      </c>
      <c r="F75" s="10">
        <f t="shared" si="4"/>
        <v>1</v>
      </c>
      <c r="G75" s="10">
        <f t="shared" si="5"/>
        <v>12</v>
      </c>
      <c r="H75" s="9">
        <v>1</v>
      </c>
      <c r="I75" s="9" t="s">
        <v>31</v>
      </c>
      <c r="J75" s="9">
        <v>2008</v>
      </c>
      <c r="K75" s="34">
        <v>960</v>
      </c>
      <c r="L75" s="9"/>
      <c r="M75" s="9"/>
      <c r="N75" s="9"/>
      <c r="O75" s="9"/>
      <c r="P75" s="9">
        <v>70</v>
      </c>
      <c r="Q75" s="9"/>
      <c r="R75" s="10"/>
      <c r="S75" s="10"/>
      <c r="T75" s="55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x14ac:dyDescent="0.2">
      <c r="A76" s="11">
        <v>22</v>
      </c>
      <c r="B76" s="39" t="s">
        <v>31</v>
      </c>
      <c r="C76" s="11">
        <v>2008</v>
      </c>
      <c r="D76" s="12" t="s">
        <v>35</v>
      </c>
      <c r="E76" s="12" t="s">
        <v>58</v>
      </c>
      <c r="F76" s="12">
        <f t="shared" si="4"/>
        <v>1</v>
      </c>
      <c r="G76" s="12">
        <f t="shared" si="5"/>
        <v>1</v>
      </c>
      <c r="H76" s="11">
        <v>1</v>
      </c>
      <c r="I76" s="39" t="s">
        <v>20</v>
      </c>
      <c r="J76" s="11">
        <v>2009</v>
      </c>
      <c r="K76" s="35">
        <v>200</v>
      </c>
      <c r="L76" s="11"/>
      <c r="M76" s="11"/>
      <c r="N76" s="11"/>
      <c r="O76" s="11"/>
      <c r="P76" s="11">
        <v>140</v>
      </c>
      <c r="Q76" s="11">
        <v>40</v>
      </c>
      <c r="R76" s="12"/>
      <c r="S76" s="12"/>
      <c r="T76" s="54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x14ac:dyDescent="0.2">
      <c r="A77" s="9">
        <v>22</v>
      </c>
      <c r="B77" s="9" t="s">
        <v>31</v>
      </c>
      <c r="C77" s="9">
        <v>2008</v>
      </c>
      <c r="D77" s="10" t="s">
        <v>15</v>
      </c>
      <c r="E77" s="10" t="s">
        <v>59</v>
      </c>
      <c r="F77" s="10">
        <f t="shared" si="4"/>
        <v>1</v>
      </c>
      <c r="G77" s="10">
        <f t="shared" si="5"/>
        <v>1</v>
      </c>
      <c r="H77" s="9">
        <v>1</v>
      </c>
      <c r="I77" s="9" t="s">
        <v>20</v>
      </c>
      <c r="J77" s="9">
        <v>2009</v>
      </c>
      <c r="K77" s="34">
        <v>2078</v>
      </c>
      <c r="L77" s="9"/>
      <c r="M77" s="9"/>
      <c r="N77" s="9"/>
      <c r="O77" s="9"/>
      <c r="P77" s="9"/>
      <c r="Q77" s="9">
        <v>15</v>
      </c>
      <c r="R77" s="10"/>
      <c r="S77" s="10"/>
      <c r="T77" s="55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x14ac:dyDescent="0.2">
      <c r="A78" s="11">
        <v>22</v>
      </c>
      <c r="B78" s="39" t="s">
        <v>31</v>
      </c>
      <c r="C78" s="11">
        <v>2008</v>
      </c>
      <c r="D78" s="12" t="s">
        <v>16</v>
      </c>
      <c r="E78" s="12" t="s">
        <v>59</v>
      </c>
      <c r="F78" s="12">
        <f t="shared" si="4"/>
        <v>1</v>
      </c>
      <c r="G78" s="12">
        <f t="shared" si="5"/>
        <v>1</v>
      </c>
      <c r="H78" s="11">
        <v>1</v>
      </c>
      <c r="I78" s="39" t="s">
        <v>20</v>
      </c>
      <c r="J78" s="11">
        <v>2009</v>
      </c>
      <c r="K78" s="35">
        <v>1200</v>
      </c>
      <c r="L78" s="11"/>
      <c r="M78" s="11"/>
      <c r="N78" s="11"/>
      <c r="O78" s="11"/>
      <c r="P78" s="11"/>
      <c r="Q78" s="11">
        <v>25</v>
      </c>
      <c r="R78" s="12"/>
      <c r="S78" s="12"/>
      <c r="T78" s="54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x14ac:dyDescent="0.2">
      <c r="A79" s="9">
        <v>26</v>
      </c>
      <c r="B79" s="9" t="s">
        <v>20</v>
      </c>
      <c r="C79" s="9">
        <v>2009</v>
      </c>
      <c r="D79" s="10" t="s">
        <v>35</v>
      </c>
      <c r="E79" s="10" t="s">
        <v>58</v>
      </c>
      <c r="F79" s="10">
        <f t="shared" si="4"/>
        <v>1</v>
      </c>
      <c r="G79" s="10">
        <f t="shared" si="5"/>
        <v>2</v>
      </c>
      <c r="H79" s="9">
        <v>1</v>
      </c>
      <c r="I79" s="9" t="s">
        <v>21</v>
      </c>
      <c r="J79" s="9">
        <v>2009</v>
      </c>
      <c r="K79" s="34">
        <v>300</v>
      </c>
      <c r="L79" s="9"/>
      <c r="M79" s="9"/>
      <c r="N79" s="9"/>
      <c r="O79" s="9"/>
      <c r="P79" s="9">
        <v>190</v>
      </c>
      <c r="Q79" s="9">
        <v>40</v>
      </c>
      <c r="R79" s="10"/>
      <c r="S79" s="10"/>
      <c r="T79" s="55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x14ac:dyDescent="0.2">
      <c r="A80" s="11">
        <v>26</v>
      </c>
      <c r="B80" s="39" t="s">
        <v>20</v>
      </c>
      <c r="C80" s="11">
        <v>2009</v>
      </c>
      <c r="D80" s="12" t="s">
        <v>16</v>
      </c>
      <c r="E80" s="12" t="s">
        <v>59</v>
      </c>
      <c r="F80" s="12">
        <f t="shared" si="4"/>
        <v>1</v>
      </c>
      <c r="G80" s="12">
        <f t="shared" si="5"/>
        <v>2</v>
      </c>
      <c r="H80" s="11">
        <v>1</v>
      </c>
      <c r="I80" s="39" t="s">
        <v>21</v>
      </c>
      <c r="J80" s="11">
        <v>2009</v>
      </c>
      <c r="K80" s="35">
        <v>750</v>
      </c>
      <c r="L80" s="11"/>
      <c r="M80" s="11"/>
      <c r="N80" s="11"/>
      <c r="O80" s="11"/>
      <c r="P80" s="11"/>
      <c r="Q80" s="11">
        <v>80</v>
      </c>
      <c r="R80" s="12"/>
      <c r="S80" s="12"/>
      <c r="T80" s="54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x14ac:dyDescent="0.2">
      <c r="A81" s="9">
        <v>23</v>
      </c>
      <c r="B81" s="9" t="s">
        <v>21</v>
      </c>
      <c r="C81" s="9">
        <v>2009</v>
      </c>
      <c r="D81" s="10" t="s">
        <v>35</v>
      </c>
      <c r="E81" s="10" t="s">
        <v>58</v>
      </c>
      <c r="F81" s="10">
        <f t="shared" si="4"/>
        <v>1</v>
      </c>
      <c r="G81" s="10">
        <f t="shared" si="5"/>
        <v>3</v>
      </c>
      <c r="H81" s="9">
        <v>1</v>
      </c>
      <c r="I81" s="40" t="s">
        <v>22</v>
      </c>
      <c r="J81" s="9">
        <v>2009</v>
      </c>
      <c r="K81" s="34">
        <v>352.63</v>
      </c>
      <c r="L81" s="9"/>
      <c r="M81" s="9"/>
      <c r="N81" s="9">
        <v>90</v>
      </c>
      <c r="O81" s="9"/>
      <c r="P81" s="9">
        <v>165</v>
      </c>
      <c r="Q81" s="9">
        <v>30</v>
      </c>
      <c r="R81" s="10"/>
      <c r="S81" s="10"/>
      <c r="T81" s="55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x14ac:dyDescent="0.2">
      <c r="A82" s="11">
        <v>23</v>
      </c>
      <c r="B82" s="39" t="s">
        <v>21</v>
      </c>
      <c r="C82" s="11">
        <v>2009</v>
      </c>
      <c r="D82" s="12" t="s">
        <v>16</v>
      </c>
      <c r="E82" s="12" t="s">
        <v>59</v>
      </c>
      <c r="F82" s="12">
        <f t="shared" si="4"/>
        <v>1</v>
      </c>
      <c r="G82" s="12">
        <f t="shared" si="5"/>
        <v>3</v>
      </c>
      <c r="H82" s="11">
        <v>1</v>
      </c>
      <c r="I82" s="39" t="s">
        <v>22</v>
      </c>
      <c r="J82" s="11">
        <v>2009</v>
      </c>
      <c r="K82" s="35">
        <v>450</v>
      </c>
      <c r="L82" s="11"/>
      <c r="M82" s="11"/>
      <c r="N82" s="11"/>
      <c r="O82" s="11"/>
      <c r="P82" s="11"/>
      <c r="Q82" s="11">
        <v>80</v>
      </c>
      <c r="R82" s="12"/>
      <c r="S82" s="12"/>
      <c r="T82" s="54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x14ac:dyDescent="0.2">
      <c r="A83" s="9">
        <v>25</v>
      </c>
      <c r="B83" s="40" t="s">
        <v>22</v>
      </c>
      <c r="C83" s="9">
        <v>2009</v>
      </c>
      <c r="D83" s="10" t="s">
        <v>35</v>
      </c>
      <c r="E83" s="10" t="s">
        <v>58</v>
      </c>
      <c r="F83" s="10">
        <f t="shared" si="4"/>
        <v>1</v>
      </c>
      <c r="G83" s="10">
        <f t="shared" si="5"/>
        <v>4</v>
      </c>
      <c r="H83" s="9">
        <v>1</v>
      </c>
      <c r="I83" s="40" t="s">
        <v>23</v>
      </c>
      <c r="J83" s="9">
        <v>2009</v>
      </c>
      <c r="K83" s="34">
        <v>800</v>
      </c>
      <c r="L83" s="9"/>
      <c r="M83" s="9"/>
      <c r="N83" s="9"/>
      <c r="O83" s="9"/>
      <c r="P83" s="9">
        <v>190</v>
      </c>
      <c r="Q83" s="9"/>
      <c r="R83" s="10"/>
      <c r="S83" s="10"/>
      <c r="T83" s="55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x14ac:dyDescent="0.2">
      <c r="A84" s="11">
        <v>25</v>
      </c>
      <c r="B84" s="39" t="s">
        <v>22</v>
      </c>
      <c r="C84" s="11">
        <v>2009</v>
      </c>
      <c r="D84" s="12" t="s">
        <v>16</v>
      </c>
      <c r="E84" s="12" t="s">
        <v>59</v>
      </c>
      <c r="F84" s="12">
        <f t="shared" si="4"/>
        <v>1</v>
      </c>
      <c r="G84" s="12">
        <f t="shared" si="5"/>
        <v>4</v>
      </c>
      <c r="H84" s="11">
        <v>1</v>
      </c>
      <c r="I84" s="39" t="s">
        <v>23</v>
      </c>
      <c r="J84" s="11">
        <v>2009</v>
      </c>
      <c r="K84" s="35">
        <v>450</v>
      </c>
      <c r="L84" s="11"/>
      <c r="M84" s="11"/>
      <c r="N84" s="11"/>
      <c r="O84" s="11"/>
      <c r="P84" s="11"/>
      <c r="Q84" s="11">
        <v>80</v>
      </c>
      <c r="R84" s="12"/>
      <c r="S84" s="12"/>
      <c r="T84" s="54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x14ac:dyDescent="0.2">
      <c r="A85" s="9">
        <v>25</v>
      </c>
      <c r="B85" s="40" t="s">
        <v>22</v>
      </c>
      <c r="C85" s="9">
        <v>2009</v>
      </c>
      <c r="D85" s="10" t="s">
        <v>6</v>
      </c>
      <c r="E85" s="10" t="s">
        <v>58</v>
      </c>
      <c r="F85" s="10">
        <f t="shared" si="4"/>
        <v>12</v>
      </c>
      <c r="G85" s="10">
        <f t="shared" si="5"/>
        <v>4</v>
      </c>
      <c r="H85" s="9">
        <v>1</v>
      </c>
      <c r="I85" s="40" t="s">
        <v>23</v>
      </c>
      <c r="J85" s="9">
        <v>2009</v>
      </c>
      <c r="K85" s="34">
        <v>2079</v>
      </c>
      <c r="L85" s="9">
        <v>50</v>
      </c>
      <c r="M85" s="9"/>
      <c r="N85" s="9"/>
      <c r="O85" s="9"/>
      <c r="P85" s="9"/>
      <c r="Q85" s="9"/>
      <c r="R85" s="10"/>
      <c r="S85" s="10"/>
      <c r="T85" s="55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x14ac:dyDescent="0.2">
      <c r="A86" s="11">
        <v>24</v>
      </c>
      <c r="B86" s="39" t="s">
        <v>23</v>
      </c>
      <c r="C86" s="11">
        <v>2009</v>
      </c>
      <c r="D86" s="12" t="s">
        <v>35</v>
      </c>
      <c r="E86" s="12" t="s">
        <v>58</v>
      </c>
      <c r="F86" s="12">
        <f t="shared" si="4"/>
        <v>1</v>
      </c>
      <c r="G86" s="12">
        <f t="shared" si="5"/>
        <v>5</v>
      </c>
      <c r="H86" s="11">
        <v>1</v>
      </c>
      <c r="I86" s="39" t="s">
        <v>24</v>
      </c>
      <c r="J86" s="11">
        <v>2009</v>
      </c>
      <c r="K86" s="35">
        <v>819.67</v>
      </c>
      <c r="L86" s="11">
        <v>20</v>
      </c>
      <c r="M86" s="11"/>
      <c r="N86" s="11">
        <v>5</v>
      </c>
      <c r="O86" s="11"/>
      <c r="P86" s="11">
        <v>130</v>
      </c>
      <c r="Q86" s="11">
        <v>40</v>
      </c>
      <c r="R86" s="12"/>
      <c r="S86" s="12"/>
      <c r="T86" s="54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x14ac:dyDescent="0.2">
      <c r="A87" s="9">
        <v>22</v>
      </c>
      <c r="B87" s="40" t="s">
        <v>24</v>
      </c>
      <c r="C87" s="9">
        <v>2009</v>
      </c>
      <c r="D87" s="10" t="s">
        <v>35</v>
      </c>
      <c r="E87" s="10" t="s">
        <v>58</v>
      </c>
      <c r="F87" s="10">
        <f t="shared" si="4"/>
        <v>1</v>
      </c>
      <c r="G87" s="10">
        <f t="shared" si="5"/>
        <v>6</v>
      </c>
      <c r="H87" s="9">
        <v>1</v>
      </c>
      <c r="I87" s="40" t="s">
        <v>25</v>
      </c>
      <c r="J87" s="9">
        <v>2009</v>
      </c>
      <c r="K87" s="34">
        <v>956.31</v>
      </c>
      <c r="L87" s="9"/>
      <c r="M87" s="9"/>
      <c r="N87" s="9">
        <v>75</v>
      </c>
      <c r="O87" s="9"/>
      <c r="P87" s="9">
        <v>120</v>
      </c>
      <c r="Q87" s="9"/>
      <c r="R87" s="10"/>
      <c r="S87" s="10"/>
      <c r="T87" s="55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x14ac:dyDescent="0.2">
      <c r="A88" s="11">
        <v>28</v>
      </c>
      <c r="B88" s="39" t="s">
        <v>24</v>
      </c>
      <c r="C88" s="11">
        <v>2009</v>
      </c>
      <c r="D88" s="12" t="s">
        <v>6</v>
      </c>
      <c r="E88" s="12" t="s">
        <v>58</v>
      </c>
      <c r="F88" s="12">
        <f t="shared" si="4"/>
        <v>12</v>
      </c>
      <c r="G88" s="12">
        <f t="shared" si="5"/>
        <v>10</v>
      </c>
      <c r="H88" s="11">
        <v>1</v>
      </c>
      <c r="I88" s="39" t="s">
        <v>29</v>
      </c>
      <c r="J88" s="11">
        <v>2009</v>
      </c>
      <c r="K88" s="35">
        <v>2373.38</v>
      </c>
      <c r="L88" s="11">
        <v>25</v>
      </c>
      <c r="M88" s="11"/>
      <c r="N88" s="11">
        <v>5</v>
      </c>
      <c r="O88" s="11"/>
      <c r="P88" s="11">
        <v>50</v>
      </c>
      <c r="Q88" s="11"/>
      <c r="R88" s="12"/>
      <c r="S88" s="12"/>
      <c r="T88" s="54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x14ac:dyDescent="0.2">
      <c r="A89" s="11">
        <v>28</v>
      </c>
      <c r="B89" s="39" t="s">
        <v>24</v>
      </c>
      <c r="C89" s="11">
        <v>2009</v>
      </c>
      <c r="D89" s="12" t="s">
        <v>6</v>
      </c>
      <c r="E89" s="12" t="s">
        <v>58</v>
      </c>
      <c r="F89" s="12">
        <f t="shared" si="4"/>
        <v>12</v>
      </c>
      <c r="G89" s="12">
        <f t="shared" si="5"/>
        <v>10</v>
      </c>
      <c r="H89" s="11">
        <v>1</v>
      </c>
      <c r="I89" s="39" t="s">
        <v>29</v>
      </c>
      <c r="J89" s="11">
        <v>2010</v>
      </c>
      <c r="K89" s="35">
        <v>2200</v>
      </c>
      <c r="L89" s="11"/>
      <c r="M89" s="11"/>
      <c r="N89" s="11"/>
      <c r="O89" s="11"/>
      <c r="P89" s="11">
        <v>30</v>
      </c>
      <c r="Q89" s="11"/>
      <c r="R89" s="12"/>
      <c r="S89" s="12"/>
      <c r="T89" s="54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x14ac:dyDescent="0.2">
      <c r="A90" s="11">
        <v>28</v>
      </c>
      <c r="B90" s="39" t="s">
        <v>24</v>
      </c>
      <c r="C90" s="11">
        <v>2009</v>
      </c>
      <c r="D90" s="12" t="s">
        <v>6</v>
      </c>
      <c r="E90" s="12" t="s">
        <v>58</v>
      </c>
      <c r="F90" s="12">
        <f t="shared" si="4"/>
        <v>12</v>
      </c>
      <c r="G90" s="12">
        <f t="shared" si="5"/>
        <v>10</v>
      </c>
      <c r="H90" s="11">
        <v>1</v>
      </c>
      <c r="I90" s="39" t="s">
        <v>29</v>
      </c>
      <c r="J90" s="11">
        <v>2011</v>
      </c>
      <c r="K90" s="35">
        <v>2300</v>
      </c>
      <c r="L90" s="11"/>
      <c r="M90" s="11"/>
      <c r="N90" s="11"/>
      <c r="O90" s="11"/>
      <c r="P90" s="11">
        <v>15</v>
      </c>
      <c r="Q90" s="11"/>
      <c r="R90" s="12"/>
      <c r="S90" s="12"/>
      <c r="T90" s="54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x14ac:dyDescent="0.2">
      <c r="A91" s="9">
        <v>24</v>
      </c>
      <c r="B91" s="40" t="s">
        <v>25</v>
      </c>
      <c r="C91" s="9">
        <v>2009</v>
      </c>
      <c r="D91" s="10" t="s">
        <v>35</v>
      </c>
      <c r="E91" s="10" t="s">
        <v>58</v>
      </c>
      <c r="F91" s="10">
        <f t="shared" si="4"/>
        <v>1</v>
      </c>
      <c r="G91" s="10">
        <f t="shared" si="5"/>
        <v>7</v>
      </c>
      <c r="H91" s="9">
        <v>1</v>
      </c>
      <c r="I91" s="40" t="s">
        <v>26</v>
      </c>
      <c r="J91" s="9">
        <v>2009</v>
      </c>
      <c r="K91" s="34">
        <v>1260</v>
      </c>
      <c r="L91" s="9"/>
      <c r="M91" s="9"/>
      <c r="N91" s="9"/>
      <c r="O91" s="9"/>
      <c r="P91" s="9">
        <v>195</v>
      </c>
      <c r="Q91" s="9"/>
      <c r="R91" s="10"/>
      <c r="S91" s="10"/>
      <c r="T91" s="55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x14ac:dyDescent="0.2">
      <c r="A92" s="11">
        <v>24</v>
      </c>
      <c r="B92" s="39" t="s">
        <v>25</v>
      </c>
      <c r="C92" s="11">
        <v>2009</v>
      </c>
      <c r="D92" s="12" t="s">
        <v>16</v>
      </c>
      <c r="E92" s="12" t="s">
        <v>59</v>
      </c>
      <c r="F92" s="12">
        <f t="shared" si="4"/>
        <v>1</v>
      </c>
      <c r="G92" s="12">
        <f t="shared" si="5"/>
        <v>7</v>
      </c>
      <c r="H92" s="11">
        <v>1</v>
      </c>
      <c r="I92" s="39" t="s">
        <v>26</v>
      </c>
      <c r="J92" s="11">
        <v>2009</v>
      </c>
      <c r="K92" s="35">
        <v>100</v>
      </c>
      <c r="L92" s="11"/>
      <c r="M92" s="11"/>
      <c r="N92" s="11"/>
      <c r="O92" s="11"/>
      <c r="P92" s="11">
        <v>80</v>
      </c>
      <c r="Q92" s="11"/>
      <c r="R92" s="12"/>
      <c r="S92" s="12"/>
      <c r="T92" s="54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x14ac:dyDescent="0.2">
      <c r="A93" s="9">
        <v>25</v>
      </c>
      <c r="B93" s="40" t="s">
        <v>25</v>
      </c>
      <c r="C93" s="9">
        <v>2009</v>
      </c>
      <c r="D93" s="10" t="s">
        <v>6</v>
      </c>
      <c r="E93" s="10" t="s">
        <v>58</v>
      </c>
      <c r="F93" s="10">
        <f t="shared" si="4"/>
        <v>12</v>
      </c>
      <c r="G93" s="10">
        <f t="shared" si="5"/>
        <v>10</v>
      </c>
      <c r="H93" s="9">
        <v>1</v>
      </c>
      <c r="I93" s="40" t="s">
        <v>29</v>
      </c>
      <c r="J93" s="9">
        <v>2009</v>
      </c>
      <c r="K93" s="34">
        <v>2665.28</v>
      </c>
      <c r="L93" s="9">
        <v>45</v>
      </c>
      <c r="M93" s="9"/>
      <c r="N93" s="9">
        <v>45</v>
      </c>
      <c r="O93" s="9"/>
      <c r="P93" s="9"/>
      <c r="Q93" s="9"/>
      <c r="R93" s="10"/>
      <c r="S93" s="10"/>
      <c r="T93" s="55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x14ac:dyDescent="0.2">
      <c r="A94" s="9">
        <v>25</v>
      </c>
      <c r="B94" s="40" t="s">
        <v>25</v>
      </c>
      <c r="C94" s="9">
        <v>2009</v>
      </c>
      <c r="D94" s="10" t="s">
        <v>6</v>
      </c>
      <c r="E94" s="10" t="s">
        <v>58</v>
      </c>
      <c r="F94" s="10">
        <f t="shared" si="4"/>
        <v>12</v>
      </c>
      <c r="G94" s="10">
        <f t="shared" si="5"/>
        <v>10</v>
      </c>
      <c r="H94" s="9">
        <v>1</v>
      </c>
      <c r="I94" s="40" t="s">
        <v>29</v>
      </c>
      <c r="J94" s="9">
        <v>2010</v>
      </c>
      <c r="K94" s="34">
        <v>2101</v>
      </c>
      <c r="L94" s="9"/>
      <c r="M94" s="9"/>
      <c r="N94" s="9"/>
      <c r="O94" s="9"/>
      <c r="P94" s="9">
        <v>30</v>
      </c>
      <c r="Q94" s="9"/>
      <c r="R94" s="10"/>
      <c r="S94" s="10"/>
      <c r="T94" s="55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x14ac:dyDescent="0.2">
      <c r="A95" s="9">
        <v>25</v>
      </c>
      <c r="B95" s="40" t="s">
        <v>25</v>
      </c>
      <c r="C95" s="9">
        <v>2009</v>
      </c>
      <c r="D95" s="10" t="s">
        <v>6</v>
      </c>
      <c r="E95" s="10" t="s">
        <v>58</v>
      </c>
      <c r="F95" s="10">
        <f t="shared" si="4"/>
        <v>12</v>
      </c>
      <c r="G95" s="10">
        <f t="shared" si="5"/>
        <v>10</v>
      </c>
      <c r="H95" s="9">
        <v>1</v>
      </c>
      <c r="I95" s="40" t="s">
        <v>29</v>
      </c>
      <c r="J95" s="9">
        <v>2011</v>
      </c>
      <c r="K95" s="34">
        <v>2101</v>
      </c>
      <c r="L95" s="9"/>
      <c r="M95" s="9"/>
      <c r="N95" s="9"/>
      <c r="O95" s="9"/>
      <c r="P95" s="9">
        <v>15</v>
      </c>
      <c r="Q95" s="9"/>
      <c r="R95" s="10"/>
      <c r="S95" s="10"/>
      <c r="T95" s="55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x14ac:dyDescent="0.2">
      <c r="A96" s="11">
        <v>24</v>
      </c>
      <c r="B96" s="39" t="s">
        <v>26</v>
      </c>
      <c r="C96" s="11">
        <v>2009</v>
      </c>
      <c r="D96" s="12" t="s">
        <v>12</v>
      </c>
      <c r="E96" s="12" t="s">
        <v>58</v>
      </c>
      <c r="F96" s="12">
        <f t="shared" si="4"/>
        <v>1</v>
      </c>
      <c r="G96" s="12">
        <f t="shared" si="5"/>
        <v>8</v>
      </c>
      <c r="H96" s="11">
        <v>1</v>
      </c>
      <c r="I96" s="39" t="s">
        <v>27</v>
      </c>
      <c r="J96" s="11">
        <v>2009</v>
      </c>
      <c r="K96" s="35">
        <v>2252.5500000000002</v>
      </c>
      <c r="L96" s="11"/>
      <c r="M96" s="11"/>
      <c r="N96" s="11"/>
      <c r="O96" s="11">
        <v>195</v>
      </c>
      <c r="P96" s="11"/>
      <c r="Q96" s="11"/>
      <c r="R96" s="12"/>
      <c r="S96" s="12"/>
      <c r="T96" s="54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x14ac:dyDescent="0.2">
      <c r="A97" s="9">
        <v>24</v>
      </c>
      <c r="B97" s="40" t="s">
        <v>27</v>
      </c>
      <c r="C97" s="9">
        <v>2009</v>
      </c>
      <c r="D97" s="10" t="s">
        <v>12</v>
      </c>
      <c r="E97" s="10" t="s">
        <v>58</v>
      </c>
      <c r="F97" s="10">
        <f t="shared" si="4"/>
        <v>1</v>
      </c>
      <c r="G97" s="10">
        <f t="shared" si="5"/>
        <v>9</v>
      </c>
      <c r="H97" s="9">
        <v>1</v>
      </c>
      <c r="I97" s="40" t="s">
        <v>28</v>
      </c>
      <c r="J97" s="9">
        <v>2009</v>
      </c>
      <c r="K97" s="34">
        <v>2401.87</v>
      </c>
      <c r="L97" s="9"/>
      <c r="M97" s="9"/>
      <c r="N97" s="9"/>
      <c r="O97" s="9">
        <v>175</v>
      </c>
      <c r="P97" s="9">
        <v>20</v>
      </c>
      <c r="Q97" s="9"/>
      <c r="R97" s="10"/>
      <c r="S97" s="10"/>
      <c r="T97" s="55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x14ac:dyDescent="0.2">
      <c r="A98" s="11">
        <v>25</v>
      </c>
      <c r="B98" s="39" t="s">
        <v>27</v>
      </c>
      <c r="C98" s="11">
        <v>2009</v>
      </c>
      <c r="D98" s="12" t="s">
        <v>6</v>
      </c>
      <c r="E98" s="12" t="s">
        <v>58</v>
      </c>
      <c r="F98" s="12">
        <f t="shared" si="4"/>
        <v>12</v>
      </c>
      <c r="G98" s="12">
        <f t="shared" si="5"/>
        <v>10</v>
      </c>
      <c r="H98" s="11">
        <v>1</v>
      </c>
      <c r="I98" s="39" t="s">
        <v>29</v>
      </c>
      <c r="J98" s="11">
        <v>2009</v>
      </c>
      <c r="K98" s="35">
        <v>2513</v>
      </c>
      <c r="L98" s="11">
        <v>10</v>
      </c>
      <c r="M98" s="11"/>
      <c r="N98" s="11">
        <v>10</v>
      </c>
      <c r="O98" s="11"/>
      <c r="P98" s="11">
        <v>30</v>
      </c>
      <c r="Q98" s="11">
        <v>20</v>
      </c>
      <c r="R98" s="12"/>
      <c r="S98" s="12"/>
      <c r="T98" s="54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x14ac:dyDescent="0.2">
      <c r="A99" s="11">
        <v>25</v>
      </c>
      <c r="B99" s="39" t="s">
        <v>27</v>
      </c>
      <c r="C99" s="11">
        <v>2009</v>
      </c>
      <c r="D99" s="12" t="s">
        <v>6</v>
      </c>
      <c r="E99" s="12" t="s">
        <v>58</v>
      </c>
      <c r="F99" s="12">
        <f t="shared" si="4"/>
        <v>12</v>
      </c>
      <c r="G99" s="12">
        <f t="shared" si="5"/>
        <v>10</v>
      </c>
      <c r="H99" s="11">
        <v>1</v>
      </c>
      <c r="I99" s="39" t="s">
        <v>29</v>
      </c>
      <c r="J99" s="11">
        <v>2010</v>
      </c>
      <c r="K99" s="35">
        <v>2105</v>
      </c>
      <c r="L99" s="11"/>
      <c r="M99" s="11"/>
      <c r="N99" s="11">
        <v>10</v>
      </c>
      <c r="O99" s="11"/>
      <c r="P99" s="11">
        <v>10</v>
      </c>
      <c r="Q99" s="11"/>
      <c r="R99" s="12"/>
      <c r="S99" s="12"/>
      <c r="T99" s="54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x14ac:dyDescent="0.2">
      <c r="A100" s="11">
        <v>25</v>
      </c>
      <c r="B100" s="39" t="s">
        <v>27</v>
      </c>
      <c r="C100" s="11">
        <v>2009</v>
      </c>
      <c r="D100" s="12" t="s">
        <v>6</v>
      </c>
      <c r="E100" s="12" t="s">
        <v>58</v>
      </c>
      <c r="F100" s="12">
        <f t="shared" si="4"/>
        <v>12</v>
      </c>
      <c r="G100" s="12">
        <f t="shared" si="5"/>
        <v>10</v>
      </c>
      <c r="H100" s="11">
        <v>1</v>
      </c>
      <c r="I100" s="39" t="s">
        <v>29</v>
      </c>
      <c r="J100" s="11">
        <v>2011</v>
      </c>
      <c r="K100" s="35">
        <v>2106.67</v>
      </c>
      <c r="L100" s="11"/>
      <c r="M100" s="11"/>
      <c r="N100" s="11">
        <v>10</v>
      </c>
      <c r="O100" s="11"/>
      <c r="P100" s="11">
        <v>5</v>
      </c>
      <c r="Q100" s="11"/>
      <c r="R100" s="12"/>
      <c r="S100" s="12"/>
      <c r="T100" s="54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x14ac:dyDescent="0.2">
      <c r="A101" s="9">
        <v>24</v>
      </c>
      <c r="B101" s="40" t="s">
        <v>28</v>
      </c>
      <c r="C101" s="9">
        <v>2009</v>
      </c>
      <c r="D101" s="10" t="s">
        <v>35</v>
      </c>
      <c r="E101" s="10" t="s">
        <v>58</v>
      </c>
      <c r="F101" s="10">
        <f t="shared" si="4"/>
        <v>1</v>
      </c>
      <c r="G101" s="10">
        <f t="shared" si="5"/>
        <v>10</v>
      </c>
      <c r="H101" s="9">
        <v>1</v>
      </c>
      <c r="I101" s="40" t="s">
        <v>29</v>
      </c>
      <c r="J101" s="9">
        <v>2009</v>
      </c>
      <c r="K101" s="34">
        <v>1000</v>
      </c>
      <c r="L101" s="9"/>
      <c r="M101" s="9"/>
      <c r="N101" s="9">
        <v>55</v>
      </c>
      <c r="O101" s="9"/>
      <c r="P101" s="9"/>
      <c r="Q101" s="9">
        <v>5</v>
      </c>
      <c r="R101" s="10"/>
      <c r="S101" s="10"/>
      <c r="T101" s="55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x14ac:dyDescent="0.2">
      <c r="A102" s="11">
        <v>23</v>
      </c>
      <c r="B102" s="39" t="s">
        <v>29</v>
      </c>
      <c r="C102" s="11">
        <v>2009</v>
      </c>
      <c r="D102" s="12" t="s">
        <v>35</v>
      </c>
      <c r="E102" s="12" t="s">
        <v>58</v>
      </c>
      <c r="F102" s="12">
        <f t="shared" si="4"/>
        <v>1</v>
      </c>
      <c r="G102" s="12">
        <f t="shared" si="5"/>
        <v>11</v>
      </c>
      <c r="H102" s="11">
        <v>1</v>
      </c>
      <c r="I102" s="39" t="s">
        <v>30</v>
      </c>
      <c r="J102" s="11">
        <v>2009</v>
      </c>
      <c r="K102" s="35">
        <v>1800</v>
      </c>
      <c r="L102" s="11"/>
      <c r="M102" s="11"/>
      <c r="N102" s="11"/>
      <c r="O102" s="11"/>
      <c r="P102" s="11">
        <v>100</v>
      </c>
      <c r="Q102" s="11"/>
      <c r="R102" s="12"/>
      <c r="S102" s="12"/>
      <c r="T102" s="54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x14ac:dyDescent="0.2">
      <c r="A103" s="9">
        <v>24</v>
      </c>
      <c r="B103" s="40" t="s">
        <v>30</v>
      </c>
      <c r="C103" s="9">
        <v>2009</v>
      </c>
      <c r="D103" s="10" t="s">
        <v>12</v>
      </c>
      <c r="E103" s="10" t="s">
        <v>58</v>
      </c>
      <c r="F103" s="10">
        <f t="shared" si="4"/>
        <v>1</v>
      </c>
      <c r="G103" s="10">
        <f t="shared" si="5"/>
        <v>12</v>
      </c>
      <c r="H103" s="9">
        <v>1</v>
      </c>
      <c r="I103" s="40" t="s">
        <v>31</v>
      </c>
      <c r="J103" s="9">
        <v>2009</v>
      </c>
      <c r="K103" s="34">
        <v>2230</v>
      </c>
      <c r="L103" s="9"/>
      <c r="M103" s="9"/>
      <c r="N103" s="9">
        <v>50</v>
      </c>
      <c r="O103" s="9"/>
      <c r="P103" s="9"/>
      <c r="Q103" s="9"/>
      <c r="R103" s="10"/>
      <c r="S103" s="10"/>
      <c r="T103" s="55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x14ac:dyDescent="0.2">
      <c r="A104" s="9">
        <v>24</v>
      </c>
      <c r="B104" s="40" t="s">
        <v>30</v>
      </c>
      <c r="C104" s="9">
        <v>2009</v>
      </c>
      <c r="D104" s="10" t="s">
        <v>35</v>
      </c>
      <c r="E104" s="10" t="s">
        <v>58</v>
      </c>
      <c r="F104" s="10">
        <f t="shared" si="4"/>
        <v>1</v>
      </c>
      <c r="G104" s="10">
        <f t="shared" si="5"/>
        <v>12</v>
      </c>
      <c r="H104" s="9">
        <v>1</v>
      </c>
      <c r="I104" s="40" t="s">
        <v>31</v>
      </c>
      <c r="J104" s="9">
        <v>2009</v>
      </c>
      <c r="K104" s="34">
        <v>1935</v>
      </c>
      <c r="L104" s="9"/>
      <c r="M104" s="9"/>
      <c r="N104" s="9"/>
      <c r="O104" s="9"/>
      <c r="P104" s="9">
        <v>50</v>
      </c>
      <c r="Q104" s="9"/>
      <c r="R104" s="10"/>
      <c r="S104" s="10"/>
      <c r="T104" s="55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x14ac:dyDescent="0.2">
      <c r="A105" s="11">
        <v>21</v>
      </c>
      <c r="B105" s="39" t="s">
        <v>31</v>
      </c>
      <c r="C105" s="11">
        <v>2009</v>
      </c>
      <c r="D105" s="12" t="s">
        <v>12</v>
      </c>
      <c r="E105" s="12" t="s">
        <v>58</v>
      </c>
      <c r="F105" s="12">
        <f t="shared" si="4"/>
        <v>1</v>
      </c>
      <c r="G105" s="12">
        <f t="shared" si="5"/>
        <v>1</v>
      </c>
      <c r="H105" s="11">
        <v>1</v>
      </c>
      <c r="I105" s="39" t="s">
        <v>20</v>
      </c>
      <c r="J105" s="11">
        <v>2010</v>
      </c>
      <c r="K105" s="35">
        <v>2300</v>
      </c>
      <c r="L105" s="11"/>
      <c r="M105" s="11"/>
      <c r="N105" s="11"/>
      <c r="O105" s="11"/>
      <c r="P105" s="11">
        <v>100</v>
      </c>
      <c r="Q105" s="11"/>
      <c r="R105" s="12"/>
      <c r="S105" s="12"/>
      <c r="T105" s="54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x14ac:dyDescent="0.2">
      <c r="A106" s="11">
        <v>21</v>
      </c>
      <c r="B106" s="39" t="s">
        <v>31</v>
      </c>
      <c r="C106" s="11">
        <v>2009</v>
      </c>
      <c r="D106" s="12" t="s">
        <v>16</v>
      </c>
      <c r="E106" s="12" t="s">
        <v>59</v>
      </c>
      <c r="F106" s="12">
        <f t="shared" si="4"/>
        <v>1</v>
      </c>
      <c r="G106" s="12">
        <f t="shared" si="5"/>
        <v>1</v>
      </c>
      <c r="H106" s="11">
        <v>1</v>
      </c>
      <c r="I106" s="39" t="s">
        <v>20</v>
      </c>
      <c r="J106" s="11">
        <v>2010</v>
      </c>
      <c r="K106" s="35">
        <f>-3720/5</f>
        <v>-744</v>
      </c>
      <c r="L106" s="11"/>
      <c r="M106" s="11"/>
      <c r="N106" s="11"/>
      <c r="O106" s="11"/>
      <c r="P106" s="11">
        <v>80</v>
      </c>
      <c r="Q106" s="11"/>
      <c r="R106" s="12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</row>
    <row r="107" spans="1:29" x14ac:dyDescent="0.2">
      <c r="A107" s="9">
        <v>25</v>
      </c>
      <c r="B107" s="40" t="s">
        <v>20</v>
      </c>
      <c r="C107" s="9">
        <v>2010</v>
      </c>
      <c r="D107" s="10" t="s">
        <v>12</v>
      </c>
      <c r="E107" s="10" t="s">
        <v>58</v>
      </c>
      <c r="F107" s="10">
        <f t="shared" si="4"/>
        <v>1</v>
      </c>
      <c r="G107" s="10">
        <f t="shared" si="5"/>
        <v>2</v>
      </c>
      <c r="H107" s="9">
        <v>1</v>
      </c>
      <c r="I107" s="40" t="s">
        <v>21</v>
      </c>
      <c r="J107" s="9">
        <v>2010</v>
      </c>
      <c r="K107" s="34">
        <v>2350</v>
      </c>
      <c r="L107" s="9"/>
      <c r="M107" s="9"/>
      <c r="N107" s="9"/>
      <c r="O107" s="9"/>
      <c r="P107" s="9">
        <v>100</v>
      </c>
      <c r="Q107" s="9"/>
      <c r="R107" s="10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</row>
    <row r="108" spans="1:29" x14ac:dyDescent="0.2">
      <c r="A108" s="9">
        <v>25</v>
      </c>
      <c r="B108" s="40" t="s">
        <v>20</v>
      </c>
      <c r="C108" s="9">
        <v>2010</v>
      </c>
      <c r="D108" s="10" t="s">
        <v>16</v>
      </c>
      <c r="E108" s="10" t="s">
        <v>59</v>
      </c>
      <c r="F108" s="10">
        <f t="shared" si="4"/>
        <v>1</v>
      </c>
      <c r="G108" s="10">
        <f t="shared" si="5"/>
        <v>2</v>
      </c>
      <c r="H108" s="9">
        <v>1</v>
      </c>
      <c r="I108" s="40" t="s">
        <v>21</v>
      </c>
      <c r="J108" s="9">
        <v>2010</v>
      </c>
      <c r="K108" s="34">
        <f>-3720/5</f>
        <v>-744</v>
      </c>
      <c r="L108" s="9"/>
      <c r="M108" s="9"/>
      <c r="N108" s="9"/>
      <c r="O108" s="9"/>
      <c r="P108" s="9">
        <v>80</v>
      </c>
      <c r="Q108" s="9"/>
      <c r="R108" s="10"/>
      <c r="S108" s="10"/>
      <c r="T108" s="55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x14ac:dyDescent="0.2">
      <c r="A109" s="11">
        <v>22</v>
      </c>
      <c r="B109" s="39" t="s">
        <v>21</v>
      </c>
      <c r="C109" s="11">
        <v>2010</v>
      </c>
      <c r="D109" s="12" t="s">
        <v>12</v>
      </c>
      <c r="E109" s="12" t="s">
        <v>58</v>
      </c>
      <c r="F109" s="12">
        <f t="shared" si="4"/>
        <v>1</v>
      </c>
      <c r="G109" s="12">
        <f t="shared" si="5"/>
        <v>3</v>
      </c>
      <c r="H109" s="11">
        <v>1</v>
      </c>
      <c r="I109" s="39" t="s">
        <v>22</v>
      </c>
      <c r="J109" s="11">
        <v>2010</v>
      </c>
      <c r="K109" s="35">
        <v>2449.3000000000002</v>
      </c>
      <c r="L109" s="11"/>
      <c r="M109" s="11"/>
      <c r="N109" s="11">
        <v>30</v>
      </c>
      <c r="O109" s="11"/>
      <c r="P109" s="11">
        <v>70</v>
      </c>
      <c r="Q109" s="11"/>
      <c r="R109" s="12"/>
      <c r="S109" s="12"/>
      <c r="T109" s="54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x14ac:dyDescent="0.2">
      <c r="A110" s="11">
        <v>22</v>
      </c>
      <c r="B110" s="39" t="s">
        <v>21</v>
      </c>
      <c r="C110" s="11">
        <v>2010</v>
      </c>
      <c r="D110" s="12" t="s">
        <v>16</v>
      </c>
      <c r="E110" s="12" t="s">
        <v>59</v>
      </c>
      <c r="F110" s="12">
        <f t="shared" si="4"/>
        <v>1</v>
      </c>
      <c r="G110" s="12">
        <f t="shared" si="5"/>
        <v>3</v>
      </c>
      <c r="H110" s="11">
        <v>1</v>
      </c>
      <c r="I110" s="39" t="s">
        <v>22</v>
      </c>
      <c r="J110" s="11">
        <v>2010</v>
      </c>
      <c r="K110" s="35">
        <v>-744</v>
      </c>
      <c r="L110" s="11"/>
      <c r="M110" s="11"/>
      <c r="N110" s="11"/>
      <c r="O110" s="11"/>
      <c r="P110" s="11">
        <v>80</v>
      </c>
      <c r="Q110" s="11"/>
      <c r="R110" s="12"/>
      <c r="S110" s="12"/>
      <c r="T110" s="54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x14ac:dyDescent="0.2">
      <c r="A111" s="9">
        <v>24</v>
      </c>
      <c r="B111" s="40" t="s">
        <v>22</v>
      </c>
      <c r="C111" s="9">
        <v>2010</v>
      </c>
      <c r="D111" s="10" t="s">
        <v>12</v>
      </c>
      <c r="E111" s="10" t="s">
        <v>58</v>
      </c>
      <c r="F111" s="10">
        <f t="shared" si="4"/>
        <v>1</v>
      </c>
      <c r="G111" s="10">
        <f t="shared" si="5"/>
        <v>4</v>
      </c>
      <c r="H111" s="9">
        <v>1</v>
      </c>
      <c r="I111" s="40" t="s">
        <v>23</v>
      </c>
      <c r="J111" s="9">
        <v>2010</v>
      </c>
      <c r="K111" s="34">
        <v>2423.09</v>
      </c>
      <c r="L111" s="9"/>
      <c r="M111" s="9"/>
      <c r="N111" s="9">
        <v>40</v>
      </c>
      <c r="O111" s="9"/>
      <c r="P111" s="9">
        <v>70</v>
      </c>
      <c r="Q111" s="9"/>
      <c r="R111" s="10"/>
      <c r="S111" s="10"/>
      <c r="T111" s="55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x14ac:dyDescent="0.2">
      <c r="A112" s="9">
        <v>24</v>
      </c>
      <c r="B112" s="40" t="s">
        <v>22</v>
      </c>
      <c r="C112" s="9">
        <v>2010</v>
      </c>
      <c r="D112" s="10" t="s">
        <v>16</v>
      </c>
      <c r="E112" s="10" t="s">
        <v>59</v>
      </c>
      <c r="F112" s="10">
        <f t="shared" si="4"/>
        <v>1</v>
      </c>
      <c r="G112" s="10">
        <f t="shared" si="5"/>
        <v>4</v>
      </c>
      <c r="H112" s="9">
        <v>1</v>
      </c>
      <c r="I112" s="40" t="s">
        <v>23</v>
      </c>
      <c r="J112" s="9">
        <v>2010</v>
      </c>
      <c r="K112" s="34">
        <f>-3720/5</f>
        <v>-744</v>
      </c>
      <c r="L112" s="9"/>
      <c r="M112" s="9"/>
      <c r="N112" s="9"/>
      <c r="O112" s="9"/>
      <c r="P112" s="9">
        <v>80</v>
      </c>
      <c r="Q112" s="9"/>
      <c r="R112" s="10"/>
      <c r="S112" s="10"/>
      <c r="T112" s="55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x14ac:dyDescent="0.2">
      <c r="A113" s="11">
        <v>23</v>
      </c>
      <c r="B113" s="39" t="s">
        <v>23</v>
      </c>
      <c r="C113" s="11">
        <v>2010</v>
      </c>
      <c r="D113" s="12" t="s">
        <v>12</v>
      </c>
      <c r="E113" s="12" t="s">
        <v>58</v>
      </c>
      <c r="F113" s="12">
        <f t="shared" si="4"/>
        <v>1</v>
      </c>
      <c r="G113" s="12">
        <f t="shared" si="5"/>
        <v>5</v>
      </c>
      <c r="H113" s="11">
        <v>1</v>
      </c>
      <c r="I113" s="39" t="s">
        <v>24</v>
      </c>
      <c r="J113" s="11">
        <v>2010</v>
      </c>
      <c r="K113" s="35">
        <v>2639.59</v>
      </c>
      <c r="L113" s="11">
        <v>5</v>
      </c>
      <c r="M113" s="11"/>
      <c r="N113" s="11">
        <v>105</v>
      </c>
      <c r="O113" s="11"/>
      <c r="P113" s="11"/>
      <c r="Q113" s="11"/>
      <c r="R113" s="12"/>
      <c r="S113" s="12"/>
      <c r="T113" s="54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x14ac:dyDescent="0.2">
      <c r="A114" s="9">
        <v>19</v>
      </c>
      <c r="B114" s="40" t="s">
        <v>24</v>
      </c>
      <c r="C114" s="9">
        <v>2010</v>
      </c>
      <c r="D114" s="10" t="s">
        <v>6</v>
      </c>
      <c r="E114" s="10" t="s">
        <v>58</v>
      </c>
      <c r="F114" s="10">
        <f t="shared" si="4"/>
        <v>12</v>
      </c>
      <c r="G114" s="10">
        <f t="shared" si="5"/>
        <v>10</v>
      </c>
      <c r="H114" s="9">
        <v>1</v>
      </c>
      <c r="I114" s="40" t="s">
        <v>29</v>
      </c>
      <c r="J114" s="9">
        <v>2010</v>
      </c>
      <c r="K114" s="34">
        <v>3044.06</v>
      </c>
      <c r="L114" s="9">
        <v>40</v>
      </c>
      <c r="M114" s="9"/>
      <c r="N114" s="9"/>
      <c r="O114" s="9"/>
      <c r="P114" s="9">
        <v>50</v>
      </c>
      <c r="Q114" s="9"/>
      <c r="R114" s="10"/>
      <c r="S114" s="10"/>
      <c r="T114" s="55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9">
        <v>19</v>
      </c>
      <c r="B115" s="40" t="s">
        <v>24</v>
      </c>
      <c r="C115" s="9">
        <v>2010</v>
      </c>
      <c r="D115" s="10" t="s">
        <v>6</v>
      </c>
      <c r="E115" s="10" t="s">
        <v>58</v>
      </c>
      <c r="F115" s="10">
        <f t="shared" si="4"/>
        <v>12</v>
      </c>
      <c r="G115" s="10">
        <f t="shared" si="5"/>
        <v>10</v>
      </c>
      <c r="H115" s="9">
        <v>1</v>
      </c>
      <c r="I115" s="40" t="s">
        <v>29</v>
      </c>
      <c r="J115" s="9">
        <v>2011</v>
      </c>
      <c r="K115" s="34">
        <v>2375.83</v>
      </c>
      <c r="L115" s="9">
        <v>25</v>
      </c>
      <c r="M115" s="9"/>
      <c r="N115" s="9"/>
      <c r="O115" s="9"/>
      <c r="P115" s="9">
        <v>5</v>
      </c>
      <c r="Q115" s="9"/>
      <c r="R115" s="10"/>
      <c r="S115" s="10"/>
      <c r="T115" s="55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9">
        <v>19</v>
      </c>
      <c r="B116" s="40" t="s">
        <v>24</v>
      </c>
      <c r="C116" s="9">
        <v>2010</v>
      </c>
      <c r="D116" s="10" t="s">
        <v>6</v>
      </c>
      <c r="E116" s="10" t="s">
        <v>58</v>
      </c>
      <c r="F116" s="10">
        <f t="shared" si="4"/>
        <v>12</v>
      </c>
      <c r="G116" s="10">
        <f t="shared" si="5"/>
        <v>10</v>
      </c>
      <c r="H116" s="9">
        <v>1</v>
      </c>
      <c r="I116" s="40" t="s">
        <v>29</v>
      </c>
      <c r="J116" s="9">
        <v>2012</v>
      </c>
      <c r="K116" s="34">
        <v>2205</v>
      </c>
      <c r="L116" s="9"/>
      <c r="M116" s="9"/>
      <c r="N116" s="9"/>
      <c r="O116" s="9"/>
      <c r="P116" s="9">
        <v>20</v>
      </c>
      <c r="Q116" s="9"/>
      <c r="R116" s="10"/>
      <c r="S116" s="10"/>
      <c r="T116" s="55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11">
        <v>24</v>
      </c>
      <c r="B117" s="39" t="s">
        <v>24</v>
      </c>
      <c r="C117" s="11">
        <v>2010</v>
      </c>
      <c r="D117" s="12" t="s">
        <v>16</v>
      </c>
      <c r="E117" s="12" t="s">
        <v>59</v>
      </c>
      <c r="F117" s="12">
        <f t="shared" si="4"/>
        <v>1</v>
      </c>
      <c r="G117" s="12">
        <f t="shared" si="5"/>
        <v>6</v>
      </c>
      <c r="H117" s="11">
        <v>1</v>
      </c>
      <c r="I117" s="39" t="s">
        <v>25</v>
      </c>
      <c r="J117" s="11">
        <v>2010</v>
      </c>
      <c r="K117" s="35">
        <v>-756</v>
      </c>
      <c r="L117" s="11"/>
      <c r="M117" s="11"/>
      <c r="N117" s="11"/>
      <c r="O117" s="11"/>
      <c r="P117" s="11">
        <v>80</v>
      </c>
      <c r="Q117" s="11"/>
      <c r="R117" s="12"/>
      <c r="S117" s="12"/>
      <c r="T117" s="54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x14ac:dyDescent="0.2">
      <c r="A118" s="11">
        <v>24</v>
      </c>
      <c r="B118" s="39" t="s">
        <v>24</v>
      </c>
      <c r="C118" s="11">
        <v>2010</v>
      </c>
      <c r="D118" s="12" t="s">
        <v>12</v>
      </c>
      <c r="E118" s="12" t="s">
        <v>58</v>
      </c>
      <c r="F118" s="12">
        <f t="shared" si="4"/>
        <v>1</v>
      </c>
      <c r="G118" s="12">
        <f t="shared" si="5"/>
        <v>6</v>
      </c>
      <c r="H118" s="11">
        <v>1</v>
      </c>
      <c r="I118" s="39" t="s">
        <v>25</v>
      </c>
      <c r="J118" s="11">
        <v>2010</v>
      </c>
      <c r="K118" s="35">
        <v>2984.73</v>
      </c>
      <c r="L118" s="11">
        <v>35</v>
      </c>
      <c r="M118" s="11"/>
      <c r="N118" s="11">
        <v>20</v>
      </c>
      <c r="O118" s="11"/>
      <c r="P118" s="11">
        <v>55</v>
      </c>
      <c r="Q118" s="11"/>
      <c r="R118" s="12"/>
      <c r="S118" s="12"/>
      <c r="T118" s="54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x14ac:dyDescent="0.2">
      <c r="A119" s="9">
        <v>18</v>
      </c>
      <c r="B119" s="40" t="s">
        <v>25</v>
      </c>
      <c r="C119" s="9">
        <v>2010</v>
      </c>
      <c r="D119" s="10" t="s">
        <v>6</v>
      </c>
      <c r="E119" s="10" t="s">
        <v>58</v>
      </c>
      <c r="F119" s="10">
        <f t="shared" si="4"/>
        <v>12</v>
      </c>
      <c r="G119" s="10">
        <f t="shared" si="5"/>
        <v>10</v>
      </c>
      <c r="H119" s="9">
        <v>1</v>
      </c>
      <c r="I119" s="40" t="s">
        <v>29</v>
      </c>
      <c r="J119" s="9">
        <v>2010</v>
      </c>
      <c r="K119" s="34">
        <v>3531.11</v>
      </c>
      <c r="L119" s="9">
        <v>5</v>
      </c>
      <c r="M119" s="9"/>
      <c r="N119" s="9"/>
      <c r="O119" s="9"/>
      <c r="P119" s="9">
        <v>65</v>
      </c>
      <c r="Q119" s="9"/>
      <c r="R119" s="10"/>
      <c r="S119" s="10">
        <v>20</v>
      </c>
      <c r="T119" s="55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x14ac:dyDescent="0.2">
      <c r="A120" s="9">
        <v>18</v>
      </c>
      <c r="B120" s="40" t="s">
        <v>25</v>
      </c>
      <c r="C120" s="9">
        <v>2010</v>
      </c>
      <c r="D120" s="10" t="s">
        <v>6</v>
      </c>
      <c r="E120" s="10" t="s">
        <v>58</v>
      </c>
      <c r="F120" s="10">
        <f t="shared" si="4"/>
        <v>12</v>
      </c>
      <c r="G120" s="10">
        <f t="shared" si="5"/>
        <v>10</v>
      </c>
      <c r="H120" s="9">
        <v>1</v>
      </c>
      <c r="I120" s="40" t="s">
        <v>29</v>
      </c>
      <c r="J120" s="9">
        <v>2011</v>
      </c>
      <c r="K120" s="34">
        <v>2600</v>
      </c>
      <c r="L120" s="9"/>
      <c r="M120" s="9"/>
      <c r="N120" s="9"/>
      <c r="O120" s="9"/>
      <c r="P120" s="9">
        <v>30</v>
      </c>
      <c r="Q120" s="9"/>
      <c r="R120" s="10"/>
      <c r="S120" s="10"/>
      <c r="T120" s="55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x14ac:dyDescent="0.2">
      <c r="A121" s="9">
        <v>18</v>
      </c>
      <c r="B121" s="40" t="s">
        <v>25</v>
      </c>
      <c r="C121" s="9">
        <v>2010</v>
      </c>
      <c r="D121" s="10" t="s">
        <v>6</v>
      </c>
      <c r="E121" s="10" t="s">
        <v>58</v>
      </c>
      <c r="F121" s="10">
        <f t="shared" si="4"/>
        <v>12</v>
      </c>
      <c r="G121" s="10">
        <f t="shared" si="5"/>
        <v>10</v>
      </c>
      <c r="H121" s="9">
        <v>1</v>
      </c>
      <c r="I121" s="40" t="s">
        <v>29</v>
      </c>
      <c r="J121" s="9">
        <v>2012</v>
      </c>
      <c r="K121" s="34">
        <v>2500</v>
      </c>
      <c r="L121" s="9"/>
      <c r="M121" s="9"/>
      <c r="N121" s="9"/>
      <c r="O121" s="9"/>
      <c r="P121" s="9">
        <v>20</v>
      </c>
      <c r="Q121" s="9"/>
      <c r="R121" s="10"/>
      <c r="S121" s="10"/>
      <c r="T121" s="55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x14ac:dyDescent="0.2">
      <c r="A122" s="11">
        <v>24</v>
      </c>
      <c r="B122" s="39" t="s">
        <v>25</v>
      </c>
      <c r="C122" s="11">
        <v>2010</v>
      </c>
      <c r="D122" s="12" t="s">
        <v>16</v>
      </c>
      <c r="E122" s="12" t="s">
        <v>59</v>
      </c>
      <c r="F122" s="12">
        <f t="shared" si="4"/>
        <v>1</v>
      </c>
      <c r="G122" s="12">
        <f t="shared" si="5"/>
        <v>7</v>
      </c>
      <c r="H122" s="11">
        <v>1</v>
      </c>
      <c r="I122" s="39" t="s">
        <v>26</v>
      </c>
      <c r="J122" s="11">
        <v>2010</v>
      </c>
      <c r="K122" s="35">
        <v>-818</v>
      </c>
      <c r="L122" s="11"/>
      <c r="M122" s="11"/>
      <c r="N122" s="11"/>
      <c r="O122" s="11"/>
      <c r="P122" s="11">
        <v>80</v>
      </c>
      <c r="Q122" s="11"/>
      <c r="R122" s="12"/>
      <c r="S122" s="12"/>
      <c r="T122" s="54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 x14ac:dyDescent="0.2">
      <c r="A123" s="11">
        <v>24</v>
      </c>
      <c r="B123" s="39" t="s">
        <v>25</v>
      </c>
      <c r="C123" s="11">
        <v>2010</v>
      </c>
      <c r="D123" s="12" t="s">
        <v>12</v>
      </c>
      <c r="E123" s="12" t="s">
        <v>58</v>
      </c>
      <c r="F123" s="12">
        <f t="shared" si="4"/>
        <v>1</v>
      </c>
      <c r="G123" s="12">
        <f t="shared" si="5"/>
        <v>7</v>
      </c>
      <c r="H123" s="11">
        <v>1</v>
      </c>
      <c r="I123" s="39" t="s">
        <v>26</v>
      </c>
      <c r="J123" s="11">
        <v>2010</v>
      </c>
      <c r="K123" s="35">
        <v>3685.84</v>
      </c>
      <c r="L123" s="11"/>
      <c r="M123" s="11"/>
      <c r="N123" s="11"/>
      <c r="O123" s="11">
        <v>110</v>
      </c>
      <c r="P123" s="11"/>
      <c r="Q123" s="11"/>
      <c r="R123" s="12"/>
      <c r="S123" s="12"/>
      <c r="T123" s="54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29" x14ac:dyDescent="0.2">
      <c r="A124" s="9">
        <v>23</v>
      </c>
      <c r="B124" s="40" t="s">
        <v>26</v>
      </c>
      <c r="C124" s="9">
        <v>2010</v>
      </c>
      <c r="D124" s="10" t="s">
        <v>16</v>
      </c>
      <c r="E124" s="10" t="s">
        <v>59</v>
      </c>
      <c r="F124" s="10">
        <f t="shared" si="4"/>
        <v>1</v>
      </c>
      <c r="G124" s="10">
        <f t="shared" si="5"/>
        <v>8</v>
      </c>
      <c r="H124" s="9">
        <v>1</v>
      </c>
      <c r="I124" s="40" t="s">
        <v>27</v>
      </c>
      <c r="J124" s="9">
        <v>2010</v>
      </c>
      <c r="K124" s="34">
        <v>-818</v>
      </c>
      <c r="L124" s="9"/>
      <c r="M124" s="9"/>
      <c r="N124" s="9"/>
      <c r="O124" s="9"/>
      <c r="P124" s="9">
        <v>80</v>
      </c>
      <c r="Q124" s="9"/>
      <c r="R124" s="10"/>
      <c r="S124" s="10"/>
      <c r="T124" s="55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x14ac:dyDescent="0.2">
      <c r="A125" s="9">
        <v>23</v>
      </c>
      <c r="B125" s="40" t="s">
        <v>26</v>
      </c>
      <c r="C125" s="9">
        <v>2010</v>
      </c>
      <c r="D125" s="10" t="s">
        <v>12</v>
      </c>
      <c r="E125" s="10" t="s">
        <v>58</v>
      </c>
      <c r="F125" s="10">
        <f t="shared" si="4"/>
        <v>1</v>
      </c>
      <c r="G125" s="10">
        <f t="shared" si="5"/>
        <v>8</v>
      </c>
      <c r="H125" s="9">
        <v>1</v>
      </c>
      <c r="I125" s="40" t="s">
        <v>27</v>
      </c>
      <c r="J125" s="9">
        <v>2010</v>
      </c>
      <c r="K125" s="34">
        <v>3454.68</v>
      </c>
      <c r="L125" s="9">
        <v>50</v>
      </c>
      <c r="M125" s="9"/>
      <c r="N125" s="9"/>
      <c r="O125" s="9"/>
      <c r="P125" s="9">
        <v>60</v>
      </c>
      <c r="Q125" s="9"/>
      <c r="R125" s="10"/>
      <c r="S125" s="10"/>
      <c r="T125" s="55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x14ac:dyDescent="0.2">
      <c r="A126" s="11">
        <v>24</v>
      </c>
      <c r="B126" s="39" t="s">
        <v>27</v>
      </c>
      <c r="C126" s="11">
        <v>2010</v>
      </c>
      <c r="D126" s="12" t="s">
        <v>12</v>
      </c>
      <c r="E126" s="12" t="s">
        <v>58</v>
      </c>
      <c r="F126" s="12">
        <f t="shared" si="4"/>
        <v>1</v>
      </c>
      <c r="G126" s="12">
        <f t="shared" si="5"/>
        <v>9</v>
      </c>
      <c r="H126" s="11">
        <v>1</v>
      </c>
      <c r="I126" s="39" t="s">
        <v>28</v>
      </c>
      <c r="J126" s="11">
        <v>2010</v>
      </c>
      <c r="K126" s="35">
        <v>3333</v>
      </c>
      <c r="L126" s="11"/>
      <c r="M126" s="11"/>
      <c r="N126" s="11"/>
      <c r="O126" s="11"/>
      <c r="P126" s="11">
        <v>110</v>
      </c>
      <c r="Q126" s="11"/>
      <c r="R126" s="12"/>
      <c r="S126" s="12"/>
      <c r="T126" s="54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 x14ac:dyDescent="0.2">
      <c r="A127" s="9">
        <v>27</v>
      </c>
      <c r="B127" s="40" t="s">
        <v>27</v>
      </c>
      <c r="C127" s="9">
        <v>2010</v>
      </c>
      <c r="D127" s="10" t="s">
        <v>6</v>
      </c>
      <c r="E127" s="10" t="s">
        <v>58</v>
      </c>
      <c r="F127" s="10">
        <f t="shared" si="4"/>
        <v>12</v>
      </c>
      <c r="G127" s="10">
        <f t="shared" si="5"/>
        <v>10</v>
      </c>
      <c r="H127" s="9">
        <v>1</v>
      </c>
      <c r="I127" s="40" t="s">
        <v>29</v>
      </c>
      <c r="J127" s="9">
        <v>2010</v>
      </c>
      <c r="K127" s="34">
        <v>3865.67</v>
      </c>
      <c r="L127" s="9"/>
      <c r="M127" s="9"/>
      <c r="N127" s="9">
        <v>10</v>
      </c>
      <c r="O127" s="9"/>
      <c r="P127" s="9">
        <v>50</v>
      </c>
      <c r="Q127" s="9"/>
      <c r="R127" s="10"/>
      <c r="S127" s="10"/>
      <c r="T127" s="55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x14ac:dyDescent="0.2">
      <c r="A128" s="9">
        <v>27</v>
      </c>
      <c r="B128" s="40" t="s">
        <v>27</v>
      </c>
      <c r="C128" s="9">
        <v>2010</v>
      </c>
      <c r="D128" s="10" t="s">
        <v>6</v>
      </c>
      <c r="E128" s="10" t="s">
        <v>58</v>
      </c>
      <c r="F128" s="10">
        <f t="shared" si="4"/>
        <v>12</v>
      </c>
      <c r="G128" s="10">
        <f t="shared" si="5"/>
        <v>10</v>
      </c>
      <c r="H128" s="9">
        <v>1</v>
      </c>
      <c r="I128" s="40" t="s">
        <v>29</v>
      </c>
      <c r="J128" s="9">
        <v>2011</v>
      </c>
      <c r="K128" s="34">
        <v>2862.5</v>
      </c>
      <c r="L128" s="9"/>
      <c r="M128" s="9"/>
      <c r="N128" s="9">
        <v>20</v>
      </c>
      <c r="O128" s="9"/>
      <c r="P128" s="9"/>
      <c r="Q128" s="9"/>
      <c r="R128" s="10"/>
      <c r="S128" s="10"/>
      <c r="T128" s="55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36" x14ac:dyDescent="0.2">
      <c r="A129" s="9">
        <v>27</v>
      </c>
      <c r="B129" s="40" t="s">
        <v>27</v>
      </c>
      <c r="C129" s="9">
        <v>2010</v>
      </c>
      <c r="D129" s="10" t="s">
        <v>6</v>
      </c>
      <c r="E129" s="10" t="s">
        <v>58</v>
      </c>
      <c r="F129" s="10">
        <f t="shared" si="4"/>
        <v>12</v>
      </c>
      <c r="G129" s="10">
        <f t="shared" si="5"/>
        <v>10</v>
      </c>
      <c r="H129" s="9">
        <v>1</v>
      </c>
      <c r="I129" s="40" t="s">
        <v>29</v>
      </c>
      <c r="J129" s="9">
        <v>2012</v>
      </c>
      <c r="K129" s="34">
        <v>2611</v>
      </c>
      <c r="L129" s="9"/>
      <c r="M129" s="9"/>
      <c r="N129" s="9"/>
      <c r="O129" s="9"/>
      <c r="P129" s="9">
        <v>30</v>
      </c>
      <c r="Q129" s="9"/>
      <c r="R129" s="10"/>
      <c r="S129" s="10"/>
      <c r="T129" s="55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36" x14ac:dyDescent="0.2">
      <c r="A130" s="11">
        <v>31</v>
      </c>
      <c r="B130" s="39" t="s">
        <v>27</v>
      </c>
      <c r="C130" s="11">
        <v>2010</v>
      </c>
      <c r="D130" s="12" t="s">
        <v>48</v>
      </c>
      <c r="E130" s="12" t="s">
        <v>58</v>
      </c>
      <c r="F130" s="12">
        <f t="shared" si="4"/>
        <v>6</v>
      </c>
      <c r="G130" s="12">
        <f t="shared" si="5"/>
        <v>10</v>
      </c>
      <c r="H130" s="11">
        <v>1</v>
      </c>
      <c r="I130" s="39" t="s">
        <v>29</v>
      </c>
      <c r="J130" s="11">
        <v>2010</v>
      </c>
      <c r="K130" s="35">
        <v>2785</v>
      </c>
      <c r="L130" s="11"/>
      <c r="M130" s="11"/>
      <c r="N130" s="11">
        <v>15</v>
      </c>
      <c r="O130" s="11"/>
      <c r="P130" s="11"/>
      <c r="Q130" s="11"/>
      <c r="R130" s="12"/>
      <c r="S130" s="12"/>
      <c r="T130" s="54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1:36" x14ac:dyDescent="0.2">
      <c r="A131" s="9">
        <v>17</v>
      </c>
      <c r="B131" s="40" t="s">
        <v>28</v>
      </c>
      <c r="C131" s="9">
        <v>2010</v>
      </c>
      <c r="D131" s="10" t="s">
        <v>49</v>
      </c>
      <c r="E131" s="10" t="s">
        <v>58</v>
      </c>
      <c r="F131" s="10">
        <f t="shared" si="4"/>
        <v>3</v>
      </c>
      <c r="G131" s="10">
        <f t="shared" si="5"/>
        <v>10</v>
      </c>
      <c r="H131" s="9">
        <v>1</v>
      </c>
      <c r="I131" s="40" t="s">
        <v>29</v>
      </c>
      <c r="J131" s="9">
        <v>2010</v>
      </c>
      <c r="K131" s="34">
        <v>3613</v>
      </c>
      <c r="L131" s="9"/>
      <c r="M131" s="9"/>
      <c r="N131" s="9">
        <v>10</v>
      </c>
      <c r="O131" s="9"/>
      <c r="P131" s="9"/>
      <c r="Q131" s="9"/>
      <c r="R131" s="10"/>
      <c r="S131" s="10"/>
      <c r="T131" s="55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36" x14ac:dyDescent="0.2">
      <c r="A132" s="11">
        <v>23</v>
      </c>
      <c r="B132" s="39" t="s">
        <v>28</v>
      </c>
      <c r="C132" s="11">
        <v>2010</v>
      </c>
      <c r="D132" s="12" t="s">
        <v>12</v>
      </c>
      <c r="E132" s="12" t="s">
        <v>58</v>
      </c>
      <c r="F132" s="12">
        <f t="shared" si="4"/>
        <v>1</v>
      </c>
      <c r="G132" s="12">
        <f t="shared" si="5"/>
        <v>10</v>
      </c>
      <c r="H132" s="11">
        <v>1</v>
      </c>
      <c r="I132" s="39" t="s">
        <v>29</v>
      </c>
      <c r="J132" s="11">
        <v>2010</v>
      </c>
      <c r="K132" s="35">
        <v>4000</v>
      </c>
      <c r="L132" s="11"/>
      <c r="M132" s="11"/>
      <c r="N132" s="11"/>
      <c r="O132" s="11"/>
      <c r="P132" s="11">
        <v>60</v>
      </c>
      <c r="Q132" s="11"/>
      <c r="R132" s="12"/>
      <c r="S132" s="12"/>
      <c r="T132" s="54"/>
      <c r="U132" s="12"/>
      <c r="V132" s="12"/>
      <c r="W132" s="12"/>
      <c r="X132" s="12"/>
      <c r="Y132" s="12"/>
      <c r="Z132" s="12"/>
      <c r="AA132" s="12"/>
      <c r="AB132" s="12"/>
      <c r="AC132" s="12"/>
    </row>
    <row r="133" spans="1:36" x14ac:dyDescent="0.2">
      <c r="A133" s="9">
        <v>22</v>
      </c>
      <c r="B133" s="40" t="s">
        <v>29</v>
      </c>
      <c r="C133" s="9">
        <v>2010</v>
      </c>
      <c r="D133" s="10" t="s">
        <v>12</v>
      </c>
      <c r="E133" s="10" t="s">
        <v>58</v>
      </c>
      <c r="F133" s="10">
        <f t="shared" si="4"/>
        <v>1</v>
      </c>
      <c r="G133" s="10">
        <f t="shared" si="5"/>
        <v>11</v>
      </c>
      <c r="H133" s="9">
        <v>1</v>
      </c>
      <c r="I133" s="40" t="s">
        <v>30</v>
      </c>
      <c r="J133" s="9">
        <v>2010</v>
      </c>
      <c r="K133" s="34">
        <v>4219.75</v>
      </c>
      <c r="L133" s="9">
        <v>5</v>
      </c>
      <c r="M133" s="9"/>
      <c r="N133" s="9">
        <v>25</v>
      </c>
      <c r="O133" s="9"/>
      <c r="P133" s="9">
        <v>70</v>
      </c>
      <c r="Q133" s="9"/>
      <c r="R133" s="10"/>
      <c r="S133" s="10"/>
      <c r="T133" s="55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36" x14ac:dyDescent="0.2">
      <c r="A134" s="11">
        <v>25</v>
      </c>
      <c r="B134" s="39" t="s">
        <v>30</v>
      </c>
      <c r="C134" s="11">
        <v>2010</v>
      </c>
      <c r="D134" s="12" t="s">
        <v>12</v>
      </c>
      <c r="E134" s="12" t="s">
        <v>58</v>
      </c>
      <c r="F134" s="12">
        <f>SUMIF($AP$5:$AP$26,D134,$AU$5:$AU$26)</f>
        <v>1</v>
      </c>
      <c r="G134" s="12">
        <v>12</v>
      </c>
      <c r="H134" s="11">
        <v>1</v>
      </c>
      <c r="I134" s="39" t="s">
        <v>31</v>
      </c>
      <c r="J134" s="11">
        <v>2010</v>
      </c>
      <c r="K134" s="35">
        <v>4430.8</v>
      </c>
      <c r="L134" s="11"/>
      <c r="M134" s="11"/>
      <c r="N134" s="11">
        <v>10</v>
      </c>
      <c r="O134" s="11"/>
      <c r="P134" s="11">
        <v>60</v>
      </c>
      <c r="Q134" s="11"/>
      <c r="R134" s="12"/>
      <c r="S134" s="12">
        <v>30</v>
      </c>
      <c r="T134" s="54"/>
      <c r="U134" s="12"/>
      <c r="V134" s="12"/>
      <c r="W134" s="12"/>
      <c r="X134" s="12"/>
      <c r="Y134" s="12"/>
      <c r="Z134" s="12"/>
      <c r="AA134" s="12"/>
      <c r="AB134" s="12"/>
      <c r="AC134" s="12"/>
    </row>
    <row r="135" spans="1:36" x14ac:dyDescent="0.2">
      <c r="A135" s="9">
        <v>15</v>
      </c>
      <c r="B135" s="40" t="s">
        <v>31</v>
      </c>
      <c r="C135" s="9">
        <v>2010</v>
      </c>
      <c r="D135" s="10" t="s">
        <v>48</v>
      </c>
      <c r="E135" s="10" t="s">
        <v>58</v>
      </c>
      <c r="F135" s="10">
        <v>6</v>
      </c>
      <c r="G135" s="10">
        <v>10</v>
      </c>
      <c r="H135" s="9">
        <v>1</v>
      </c>
      <c r="I135" s="40" t="s">
        <v>23</v>
      </c>
      <c r="J135" s="9">
        <v>2011</v>
      </c>
      <c r="K135" s="34">
        <v>4456</v>
      </c>
      <c r="L135" s="9"/>
      <c r="M135" s="9"/>
      <c r="N135" s="9"/>
      <c r="O135" s="9"/>
      <c r="P135" s="9">
        <v>15</v>
      </c>
      <c r="Q135" s="9"/>
      <c r="R135" s="10"/>
      <c r="S135" s="10"/>
      <c r="T135" s="55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36" x14ac:dyDescent="0.2">
      <c r="A136" s="11">
        <v>15</v>
      </c>
      <c r="B136" s="39" t="s">
        <v>31</v>
      </c>
      <c r="C136" s="11">
        <v>2010</v>
      </c>
      <c r="D136" s="12" t="s">
        <v>49</v>
      </c>
      <c r="E136" s="12" t="s">
        <v>58</v>
      </c>
      <c r="F136" s="12">
        <v>3</v>
      </c>
      <c r="G136" s="12">
        <v>10</v>
      </c>
      <c r="H136" s="11">
        <v>1</v>
      </c>
      <c r="I136" s="39" t="s">
        <v>20</v>
      </c>
      <c r="J136" s="11">
        <v>2011</v>
      </c>
      <c r="K136" s="35">
        <v>4480.5</v>
      </c>
      <c r="L136" s="11">
        <v>5</v>
      </c>
      <c r="M136" s="11"/>
      <c r="N136" s="11"/>
      <c r="O136" s="11"/>
      <c r="P136" s="11">
        <v>5</v>
      </c>
      <c r="Q136" s="11"/>
      <c r="R136" s="12"/>
      <c r="S136" s="12"/>
      <c r="T136" s="54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36" x14ac:dyDescent="0.2">
      <c r="A137" s="9">
        <v>22</v>
      </c>
      <c r="B137" s="40" t="s">
        <v>31</v>
      </c>
      <c r="C137" s="9">
        <v>2010</v>
      </c>
      <c r="D137" s="10" t="s">
        <v>12</v>
      </c>
      <c r="E137" s="10" t="s">
        <v>58</v>
      </c>
      <c r="F137" s="10"/>
      <c r="G137" s="10"/>
      <c r="H137" s="9">
        <v>1</v>
      </c>
      <c r="I137" s="40" t="s">
        <v>20</v>
      </c>
      <c r="J137" s="9">
        <v>2011</v>
      </c>
      <c r="K137" s="34">
        <v>4813</v>
      </c>
      <c r="L137" s="9"/>
      <c r="M137" s="9"/>
      <c r="N137" s="9"/>
      <c r="O137" s="9"/>
      <c r="P137" s="9">
        <v>100</v>
      </c>
      <c r="Q137" s="9"/>
      <c r="R137" s="10"/>
      <c r="S137" s="10"/>
      <c r="T137" s="55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36" x14ac:dyDescent="0.2">
      <c r="A138" s="11">
        <v>25</v>
      </c>
      <c r="B138" s="39" t="s">
        <v>20</v>
      </c>
      <c r="C138" s="11">
        <v>2011</v>
      </c>
      <c r="D138" s="12" t="s">
        <v>12</v>
      </c>
      <c r="E138" s="12" t="s">
        <v>58</v>
      </c>
      <c r="F138" s="12"/>
      <c r="G138" s="12"/>
      <c r="H138" s="11">
        <v>1</v>
      </c>
      <c r="I138" s="39" t="s">
        <v>21</v>
      </c>
      <c r="J138" s="11">
        <v>2011</v>
      </c>
      <c r="K138" s="35">
        <v>4512.8500000000004</v>
      </c>
      <c r="L138" s="11">
        <v>15</v>
      </c>
      <c r="M138" s="11"/>
      <c r="N138" s="11">
        <v>10</v>
      </c>
      <c r="O138" s="11"/>
      <c r="P138" s="11">
        <v>45</v>
      </c>
      <c r="Q138" s="11"/>
      <c r="R138" s="12"/>
      <c r="S138" s="12">
        <v>30</v>
      </c>
      <c r="T138" s="54"/>
      <c r="U138" s="12"/>
      <c r="V138" s="12"/>
      <c r="W138" s="12"/>
      <c r="X138" s="12"/>
      <c r="Y138" s="12"/>
      <c r="Z138" s="12"/>
      <c r="AA138" s="12"/>
      <c r="AB138" s="12"/>
      <c r="AC138" s="12"/>
    </row>
    <row r="139" spans="1:36" x14ac:dyDescent="0.2">
      <c r="A139" s="9">
        <v>22</v>
      </c>
      <c r="B139" s="40" t="s">
        <v>21</v>
      </c>
      <c r="C139" s="9">
        <v>2011</v>
      </c>
      <c r="D139" s="10" t="s">
        <v>12</v>
      </c>
      <c r="E139" s="10" t="s">
        <v>58</v>
      </c>
      <c r="F139" s="10"/>
      <c r="G139" s="10"/>
      <c r="H139" s="9">
        <v>1</v>
      </c>
      <c r="I139" s="40" t="s">
        <v>22</v>
      </c>
      <c r="J139" s="9">
        <v>2011</v>
      </c>
      <c r="K139" s="34">
        <v>4721.3999999999996</v>
      </c>
      <c r="L139" s="9">
        <v>20</v>
      </c>
      <c r="M139" s="9"/>
      <c r="N139" s="9">
        <v>20</v>
      </c>
      <c r="O139" s="9"/>
      <c r="P139" s="9">
        <v>30</v>
      </c>
      <c r="Q139" s="9"/>
      <c r="R139" s="10"/>
      <c r="S139" s="10">
        <v>30</v>
      </c>
      <c r="T139" s="55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36" x14ac:dyDescent="0.2">
      <c r="A140" s="11">
        <v>25</v>
      </c>
      <c r="B140" s="39" t="s">
        <v>22</v>
      </c>
      <c r="C140" s="11">
        <v>2011</v>
      </c>
      <c r="D140" s="12" t="s">
        <v>12</v>
      </c>
      <c r="E140" s="12" t="s">
        <v>58</v>
      </c>
      <c r="F140" s="12"/>
      <c r="G140" s="12"/>
      <c r="H140" s="11">
        <v>1</v>
      </c>
      <c r="I140" s="39" t="s">
        <v>23</v>
      </c>
      <c r="J140" s="11">
        <v>2011</v>
      </c>
      <c r="K140" s="35">
        <v>4733.33</v>
      </c>
      <c r="L140" s="11"/>
      <c r="M140" s="11"/>
      <c r="N140" s="11"/>
      <c r="O140" s="11">
        <v>25</v>
      </c>
      <c r="P140" s="11">
        <v>35</v>
      </c>
      <c r="Q140" s="11"/>
      <c r="R140" s="12"/>
      <c r="S140" s="12"/>
      <c r="T140" s="54"/>
      <c r="U140" s="12"/>
      <c r="V140" s="12"/>
      <c r="W140" s="12"/>
      <c r="X140" s="12"/>
      <c r="Y140" s="12"/>
      <c r="Z140" s="12"/>
      <c r="AA140" s="12"/>
      <c r="AB140" s="12"/>
      <c r="AC140" s="12"/>
    </row>
    <row r="141" spans="1:36" x14ac:dyDescent="0.2">
      <c r="A141" s="9">
        <v>20</v>
      </c>
      <c r="B141" s="40" t="s">
        <v>23</v>
      </c>
      <c r="C141" s="9">
        <v>2011</v>
      </c>
      <c r="D141" s="10" t="s">
        <v>12</v>
      </c>
      <c r="E141" s="10" t="s">
        <v>58</v>
      </c>
      <c r="F141" s="10"/>
      <c r="G141" s="10"/>
      <c r="H141" s="9">
        <v>1</v>
      </c>
      <c r="I141" s="40" t="s">
        <v>24</v>
      </c>
      <c r="J141" s="9">
        <v>2011</v>
      </c>
      <c r="K141" s="34">
        <v>4891.25</v>
      </c>
      <c r="L141" s="9">
        <v>5</v>
      </c>
      <c r="M141" s="9"/>
      <c r="N141" s="9"/>
      <c r="O141" s="9">
        <v>25</v>
      </c>
      <c r="P141" s="9">
        <v>10</v>
      </c>
      <c r="Q141" s="9"/>
      <c r="R141" s="10"/>
      <c r="S141" s="10">
        <v>20</v>
      </c>
      <c r="T141" s="55"/>
      <c r="U141" s="10"/>
      <c r="V141" s="10"/>
      <c r="W141" s="10"/>
      <c r="X141" s="10"/>
      <c r="Y141" s="10"/>
      <c r="Z141" s="10"/>
      <c r="AA141" s="10"/>
      <c r="AB141" s="10"/>
      <c r="AC141" s="10"/>
      <c r="AE141" s="42"/>
      <c r="AG141" s="42"/>
    </row>
    <row r="142" spans="1:36" x14ac:dyDescent="0.2">
      <c r="A142" s="11">
        <v>24</v>
      </c>
      <c r="B142" s="39" t="s">
        <v>24</v>
      </c>
      <c r="C142" s="11">
        <v>2011</v>
      </c>
      <c r="D142" s="12" t="s">
        <v>12</v>
      </c>
      <c r="E142" s="12" t="s">
        <v>58</v>
      </c>
      <c r="F142" s="12"/>
      <c r="G142" s="12"/>
      <c r="H142" s="11">
        <v>1</v>
      </c>
      <c r="I142" s="39" t="s">
        <v>25</v>
      </c>
      <c r="J142" s="11">
        <v>2011</v>
      </c>
      <c r="K142" s="35">
        <v>4539.54</v>
      </c>
      <c r="L142" s="11"/>
      <c r="M142" s="11"/>
      <c r="N142" s="11"/>
      <c r="O142" s="11">
        <v>25</v>
      </c>
      <c r="P142" s="11">
        <v>30</v>
      </c>
      <c r="Q142" s="11"/>
      <c r="R142" s="12"/>
      <c r="S142" s="12">
        <v>5</v>
      </c>
      <c r="T142" s="54"/>
      <c r="U142" s="12"/>
      <c r="V142" s="12"/>
      <c r="W142" s="12"/>
      <c r="X142" s="12"/>
      <c r="Y142" s="12"/>
      <c r="Z142" s="12"/>
      <c r="AA142" s="12"/>
      <c r="AB142" s="12"/>
      <c r="AC142" s="12"/>
      <c r="AE142" s="42"/>
      <c r="AG142" s="42"/>
    </row>
    <row r="143" spans="1:36" x14ac:dyDescent="0.2">
      <c r="A143" s="9">
        <v>2</v>
      </c>
      <c r="B143" s="40" t="s">
        <v>25</v>
      </c>
      <c r="C143" s="9">
        <v>2011</v>
      </c>
      <c r="D143" s="10" t="s">
        <v>6</v>
      </c>
      <c r="E143" s="10" t="s">
        <v>58</v>
      </c>
      <c r="F143" s="10">
        <f t="shared" ref="F143:F145" si="6">SUMIF($AP$5:$AP$26,D143,$AU$5:$AU$26)</f>
        <v>12</v>
      </c>
      <c r="G143" s="10">
        <f t="shared" ref="G143:G145" si="7">SUMIF($AM$5:$AM$26,I143,$AL$5:$AL$26)</f>
        <v>10</v>
      </c>
      <c r="H143" s="9">
        <v>1</v>
      </c>
      <c r="I143" s="40" t="s">
        <v>29</v>
      </c>
      <c r="J143" s="9">
        <v>2011</v>
      </c>
      <c r="K143" s="34">
        <v>4492.43</v>
      </c>
      <c r="L143" s="9">
        <v>60</v>
      </c>
      <c r="M143" s="9"/>
      <c r="N143" s="9"/>
      <c r="O143" s="9"/>
      <c r="P143" s="9"/>
      <c r="Q143" s="9"/>
      <c r="R143" s="10"/>
      <c r="S143" s="10">
        <v>10</v>
      </c>
      <c r="T143" s="55"/>
      <c r="U143" s="10"/>
      <c r="V143" s="10"/>
      <c r="W143" s="10"/>
      <c r="X143" s="10"/>
      <c r="Y143" s="10"/>
      <c r="Z143" s="10"/>
      <c r="AA143" s="10"/>
      <c r="AB143" s="10"/>
      <c r="AC143" s="10"/>
      <c r="AE143" s="42"/>
      <c r="AG143" s="42"/>
      <c r="AJ143" s="42"/>
    </row>
    <row r="144" spans="1:36" x14ac:dyDescent="0.2">
      <c r="A144" s="9">
        <v>2</v>
      </c>
      <c r="B144" s="40" t="s">
        <v>25</v>
      </c>
      <c r="C144" s="9">
        <v>2011</v>
      </c>
      <c r="D144" s="10" t="s">
        <v>6</v>
      </c>
      <c r="E144" s="10" t="s">
        <v>58</v>
      </c>
      <c r="F144" s="10">
        <f t="shared" si="6"/>
        <v>12</v>
      </c>
      <c r="G144" s="10">
        <f t="shared" si="7"/>
        <v>10</v>
      </c>
      <c r="H144" s="9">
        <v>1</v>
      </c>
      <c r="I144" s="40" t="s">
        <v>29</v>
      </c>
      <c r="J144" s="9">
        <v>2012</v>
      </c>
      <c r="K144" s="34">
        <v>2793</v>
      </c>
      <c r="L144" s="9">
        <v>20</v>
      </c>
      <c r="M144" s="9"/>
      <c r="N144" s="9"/>
      <c r="O144" s="9"/>
      <c r="P144" s="9"/>
      <c r="Q144" s="9"/>
      <c r="R144" s="10"/>
      <c r="S144" s="10"/>
      <c r="T144" s="55"/>
      <c r="U144" s="10"/>
      <c r="V144" s="10"/>
      <c r="W144" s="10"/>
      <c r="X144" s="10"/>
      <c r="Y144" s="10"/>
      <c r="Z144" s="10"/>
      <c r="AA144" s="10"/>
      <c r="AB144" s="10"/>
      <c r="AC144" s="10"/>
      <c r="AE144" s="42"/>
      <c r="AG144" s="42"/>
      <c r="AJ144" s="42"/>
    </row>
    <row r="145" spans="1:36" x14ac:dyDescent="0.2">
      <c r="A145" s="9">
        <v>2</v>
      </c>
      <c r="B145" s="40" t="s">
        <v>25</v>
      </c>
      <c r="C145" s="9">
        <v>2011</v>
      </c>
      <c r="D145" s="10" t="s">
        <v>6</v>
      </c>
      <c r="E145" s="10" t="s">
        <v>58</v>
      </c>
      <c r="F145" s="10">
        <f t="shared" si="6"/>
        <v>12</v>
      </c>
      <c r="G145" s="10">
        <f t="shared" si="7"/>
        <v>10</v>
      </c>
      <c r="H145" s="9">
        <v>1</v>
      </c>
      <c r="I145" s="40" t="s">
        <v>29</v>
      </c>
      <c r="J145" s="9">
        <v>2013</v>
      </c>
      <c r="K145" s="34">
        <v>5.05</v>
      </c>
      <c r="L145" s="9"/>
      <c r="M145" s="9"/>
      <c r="N145" s="9">
        <v>20</v>
      </c>
      <c r="O145" s="9"/>
      <c r="P145" s="9"/>
      <c r="Q145" s="9"/>
      <c r="R145" s="10"/>
      <c r="S145" s="10"/>
      <c r="T145" s="55"/>
      <c r="U145" s="10"/>
      <c r="V145" s="10"/>
      <c r="W145" s="10"/>
      <c r="X145" s="10"/>
      <c r="Y145" s="10"/>
      <c r="Z145" s="10"/>
      <c r="AA145" s="10"/>
      <c r="AB145" s="10"/>
      <c r="AC145" s="10"/>
      <c r="AE145" s="42"/>
      <c r="AG145" s="42"/>
      <c r="AJ145" s="42"/>
    </row>
    <row r="146" spans="1:36" x14ac:dyDescent="0.2">
      <c r="A146" s="9">
        <v>2</v>
      </c>
      <c r="B146" s="40" t="s">
        <v>25</v>
      </c>
      <c r="C146" s="9">
        <v>2011</v>
      </c>
      <c r="D146" s="10" t="s">
        <v>14</v>
      </c>
      <c r="E146" s="10" t="s">
        <v>59</v>
      </c>
      <c r="F146" s="10">
        <f t="shared" ref="F146" si="8">SUMIF($AP$5:$AP$26,D146,$AU$5:$AU$26)</f>
        <v>11</v>
      </c>
      <c r="G146" s="10">
        <f t="shared" ref="G146" si="9">SUMIF($AM$5:$AM$26,I146,$AL$5:$AL$26)</f>
        <v>10</v>
      </c>
      <c r="H146" s="9">
        <v>1</v>
      </c>
      <c r="I146" s="40" t="s">
        <v>29</v>
      </c>
      <c r="J146" s="9">
        <v>2011</v>
      </c>
      <c r="K146" s="34">
        <v>1.01</v>
      </c>
      <c r="L146" s="9"/>
      <c r="M146" s="9"/>
      <c r="N146" s="9"/>
      <c r="O146" s="9"/>
      <c r="P146" s="9"/>
      <c r="Q146" s="9"/>
      <c r="R146" s="10"/>
      <c r="S146" s="10">
        <v>5</v>
      </c>
      <c r="T146" s="55"/>
      <c r="U146" s="10"/>
      <c r="V146" s="10"/>
      <c r="W146" s="10"/>
      <c r="X146" s="10"/>
      <c r="Y146" s="10"/>
      <c r="Z146" s="10"/>
      <c r="AA146" s="10"/>
      <c r="AB146" s="10"/>
      <c r="AC146" s="10"/>
      <c r="AE146" s="42"/>
      <c r="AG146" s="42"/>
      <c r="AJ146" s="42"/>
    </row>
    <row r="147" spans="1:36" x14ac:dyDescent="0.2">
      <c r="A147" s="11">
        <v>16</v>
      </c>
      <c r="B147" s="39" t="s">
        <v>25</v>
      </c>
      <c r="C147" s="11">
        <v>2011</v>
      </c>
      <c r="D147" s="12" t="s">
        <v>49</v>
      </c>
      <c r="E147" s="12" t="s">
        <v>58</v>
      </c>
      <c r="F147" s="12">
        <v>3</v>
      </c>
      <c r="G147" s="12">
        <v>10</v>
      </c>
      <c r="H147" s="11">
        <v>1</v>
      </c>
      <c r="I147" s="39" t="s">
        <v>26</v>
      </c>
      <c r="J147" s="11">
        <v>2011</v>
      </c>
      <c r="K147" s="35">
        <v>4600</v>
      </c>
      <c r="L147" s="11"/>
      <c r="M147" s="11"/>
      <c r="N147" s="11"/>
      <c r="O147" s="11"/>
      <c r="P147" s="11">
        <v>10</v>
      </c>
      <c r="Q147" s="11"/>
      <c r="R147" s="12"/>
      <c r="S147" s="12"/>
      <c r="T147" s="54"/>
      <c r="U147" s="12"/>
      <c r="V147" s="12"/>
      <c r="W147" s="12"/>
      <c r="X147" s="12"/>
      <c r="Y147" s="12"/>
      <c r="Z147" s="12"/>
      <c r="AA147" s="12"/>
      <c r="AB147" s="12"/>
      <c r="AC147" s="12"/>
      <c r="AE147" s="42"/>
      <c r="AG147" s="42"/>
      <c r="AJ147" s="42"/>
    </row>
    <row r="148" spans="1:36" x14ac:dyDescent="0.2">
      <c r="A148" s="9">
        <v>23</v>
      </c>
      <c r="B148" s="40" t="s">
        <v>25</v>
      </c>
      <c r="C148" s="9">
        <v>2011</v>
      </c>
      <c r="D148" s="10" t="s">
        <v>6</v>
      </c>
      <c r="E148" s="10" t="s">
        <v>58</v>
      </c>
      <c r="F148" s="10">
        <f t="shared" ref="F148:F151" si="10">SUMIF($AP$5:$AP$26,D148,$AU$5:$AU$26)</f>
        <v>12</v>
      </c>
      <c r="G148" s="10">
        <f t="shared" ref="G148:G151" si="11">SUMIF($AM$5:$AM$26,I148,$AL$5:$AL$26)</f>
        <v>10</v>
      </c>
      <c r="H148" s="9">
        <v>1</v>
      </c>
      <c r="I148" s="40" t="s">
        <v>29</v>
      </c>
      <c r="J148" s="9">
        <v>2011</v>
      </c>
      <c r="K148" s="34">
        <v>5657.36</v>
      </c>
      <c r="L148" s="9"/>
      <c r="M148" s="9"/>
      <c r="N148" s="9">
        <v>55</v>
      </c>
      <c r="O148" s="9"/>
      <c r="P148" s="9">
        <v>15</v>
      </c>
      <c r="Q148" s="9"/>
      <c r="R148" s="10"/>
      <c r="S148" s="10"/>
      <c r="T148" s="55"/>
      <c r="U148" s="10"/>
      <c r="V148" s="10"/>
      <c r="W148" s="10"/>
      <c r="X148" s="10"/>
      <c r="Y148" s="10"/>
      <c r="Z148" s="10"/>
      <c r="AA148" s="10"/>
      <c r="AB148" s="10"/>
      <c r="AC148" s="10"/>
      <c r="AE148" s="42"/>
      <c r="AG148" s="42"/>
      <c r="AJ148" s="42"/>
    </row>
    <row r="149" spans="1:36" x14ac:dyDescent="0.2">
      <c r="A149" s="9">
        <v>23</v>
      </c>
      <c r="B149" s="40" t="s">
        <v>25</v>
      </c>
      <c r="C149" s="9">
        <v>2011</v>
      </c>
      <c r="D149" s="10" t="s">
        <v>6</v>
      </c>
      <c r="E149" s="10" t="s">
        <v>58</v>
      </c>
      <c r="F149" s="10">
        <f t="shared" si="10"/>
        <v>12</v>
      </c>
      <c r="G149" s="10">
        <f t="shared" si="11"/>
        <v>10</v>
      </c>
      <c r="H149" s="9">
        <v>1</v>
      </c>
      <c r="I149" s="40" t="s">
        <v>29</v>
      </c>
      <c r="J149" s="9">
        <v>2012</v>
      </c>
      <c r="K149" s="34">
        <v>3110</v>
      </c>
      <c r="L149" s="9"/>
      <c r="M149" s="9"/>
      <c r="N149" s="9"/>
      <c r="O149" s="9"/>
      <c r="P149" s="9">
        <v>20</v>
      </c>
      <c r="Q149" s="9"/>
      <c r="R149" s="10"/>
      <c r="S149" s="10"/>
      <c r="T149" s="55"/>
      <c r="U149" s="10"/>
      <c r="V149" s="10"/>
      <c r="W149" s="10"/>
      <c r="X149" s="10"/>
      <c r="Y149" s="10"/>
      <c r="Z149" s="10"/>
      <c r="AA149" s="10"/>
      <c r="AB149" s="10"/>
      <c r="AC149" s="10"/>
      <c r="AE149" s="42"/>
      <c r="AG149" s="42"/>
      <c r="AJ149" s="42"/>
    </row>
    <row r="150" spans="1:36" x14ac:dyDescent="0.2">
      <c r="A150" s="9">
        <v>23</v>
      </c>
      <c r="B150" s="40" t="s">
        <v>25</v>
      </c>
      <c r="C150" s="9">
        <v>2011</v>
      </c>
      <c r="D150" s="10" t="s">
        <v>6</v>
      </c>
      <c r="E150" s="10" t="s">
        <v>58</v>
      </c>
      <c r="F150" s="10">
        <f t="shared" si="10"/>
        <v>12</v>
      </c>
      <c r="G150" s="10">
        <f t="shared" si="11"/>
        <v>10</v>
      </c>
      <c r="H150" s="9">
        <v>1</v>
      </c>
      <c r="I150" s="40" t="s">
        <v>29</v>
      </c>
      <c r="J150" s="9">
        <v>2013</v>
      </c>
      <c r="K150" s="34">
        <v>2110</v>
      </c>
      <c r="L150" s="9"/>
      <c r="M150" s="9"/>
      <c r="N150" s="9"/>
      <c r="O150" s="9"/>
      <c r="P150" s="9">
        <v>10</v>
      </c>
      <c r="Q150" s="9"/>
      <c r="R150" s="10"/>
      <c r="S150" s="10"/>
      <c r="T150" s="55"/>
      <c r="U150" s="10"/>
      <c r="V150" s="10"/>
      <c r="W150" s="10"/>
      <c r="X150" s="10"/>
      <c r="Y150" s="10"/>
      <c r="Z150" s="10"/>
      <c r="AA150" s="10"/>
      <c r="AB150" s="10"/>
      <c r="AC150" s="10"/>
      <c r="AE150" s="42"/>
      <c r="AG150" s="42"/>
      <c r="AJ150" s="42"/>
    </row>
    <row r="151" spans="1:36" x14ac:dyDescent="0.2">
      <c r="A151" s="9">
        <v>23</v>
      </c>
      <c r="B151" s="40" t="s">
        <v>25</v>
      </c>
      <c r="C151" s="9">
        <v>2011</v>
      </c>
      <c r="D151" s="10" t="s">
        <v>14</v>
      </c>
      <c r="E151" s="10" t="s">
        <v>59</v>
      </c>
      <c r="F151" s="10">
        <f t="shared" si="10"/>
        <v>11</v>
      </c>
      <c r="G151" s="10">
        <f t="shared" si="11"/>
        <v>10</v>
      </c>
      <c r="H151" s="9">
        <v>1</v>
      </c>
      <c r="I151" s="40" t="s">
        <v>29</v>
      </c>
      <c r="J151" s="9">
        <v>2011</v>
      </c>
      <c r="K151" s="34">
        <v>5.83</v>
      </c>
      <c r="L151" s="9">
        <v>5</v>
      </c>
      <c r="M151" s="9"/>
      <c r="N151" s="9"/>
      <c r="O151" s="9"/>
      <c r="P151" s="9"/>
      <c r="Q151" s="9"/>
      <c r="R151" s="10"/>
      <c r="S151" s="10">
        <v>20</v>
      </c>
      <c r="T151" s="55">
        <v>10</v>
      </c>
      <c r="U151" s="10"/>
      <c r="V151" s="10"/>
      <c r="W151" s="10"/>
      <c r="X151" s="10"/>
      <c r="Y151" s="10"/>
      <c r="Z151" s="10"/>
      <c r="AA151" s="10"/>
      <c r="AB151" s="10"/>
      <c r="AC151" s="10"/>
      <c r="AE151" s="42"/>
      <c r="AG151" s="42"/>
      <c r="AJ151" s="42"/>
    </row>
    <row r="152" spans="1:36" x14ac:dyDescent="0.2">
      <c r="A152" s="11">
        <v>24</v>
      </c>
      <c r="B152" s="39" t="s">
        <v>25</v>
      </c>
      <c r="C152" s="11">
        <v>2011</v>
      </c>
      <c r="D152" s="12" t="s">
        <v>12</v>
      </c>
      <c r="E152" s="12" t="s">
        <v>58</v>
      </c>
      <c r="F152" s="12"/>
      <c r="G152" s="12"/>
      <c r="H152" s="11">
        <v>1</v>
      </c>
      <c r="I152" s="39" t="s">
        <v>26</v>
      </c>
      <c r="J152" s="11">
        <v>2011</v>
      </c>
      <c r="K152" s="35">
        <v>4745.83</v>
      </c>
      <c r="L152" s="11"/>
      <c r="M152" s="11"/>
      <c r="N152" s="11"/>
      <c r="O152" s="11">
        <v>45</v>
      </c>
      <c r="P152" s="11">
        <v>15</v>
      </c>
      <c r="Q152" s="11"/>
      <c r="R152" s="12"/>
      <c r="S152" s="12"/>
      <c r="T152" s="54"/>
      <c r="U152" s="12"/>
      <c r="V152" s="12"/>
      <c r="W152" s="12"/>
      <c r="X152" s="12"/>
      <c r="Y152" s="12"/>
      <c r="Z152" s="12"/>
      <c r="AA152" s="12"/>
      <c r="AB152" s="12"/>
      <c r="AC152" s="12"/>
      <c r="AE152" s="42"/>
      <c r="AG152" s="42"/>
      <c r="AJ152" s="42"/>
    </row>
    <row r="153" spans="1:36" x14ac:dyDescent="0.2">
      <c r="A153" s="9">
        <v>25</v>
      </c>
      <c r="B153" s="40" t="s">
        <v>26</v>
      </c>
      <c r="C153" s="9">
        <v>2011</v>
      </c>
      <c r="D153" s="10" t="s">
        <v>12</v>
      </c>
      <c r="E153" s="10" t="s">
        <v>58</v>
      </c>
      <c r="F153" s="10"/>
      <c r="G153" s="10"/>
      <c r="H153" s="9">
        <v>1</v>
      </c>
      <c r="I153" s="40" t="s">
        <v>27</v>
      </c>
      <c r="J153" s="9">
        <v>2011</v>
      </c>
      <c r="K153" s="34">
        <v>4654.5</v>
      </c>
      <c r="L153" s="9"/>
      <c r="M153" s="9"/>
      <c r="N153" s="9"/>
      <c r="O153" s="9"/>
      <c r="P153" s="9">
        <v>30</v>
      </c>
      <c r="Q153" s="9"/>
      <c r="R153" s="10"/>
      <c r="S153" s="10"/>
      <c r="T153" s="55"/>
      <c r="U153" s="10">
        <v>30</v>
      </c>
      <c r="V153" s="10"/>
      <c r="W153" s="10"/>
      <c r="X153" s="10"/>
      <c r="Y153" s="10"/>
      <c r="Z153" s="10"/>
      <c r="AA153" s="10"/>
      <c r="AB153" s="10"/>
      <c r="AC153" s="10"/>
      <c r="AE153" s="42"/>
      <c r="AG153" s="42"/>
      <c r="AJ153" s="42"/>
    </row>
    <row r="154" spans="1:36" x14ac:dyDescent="0.2">
      <c r="A154" s="11">
        <v>10</v>
      </c>
      <c r="B154" s="39" t="s">
        <v>27</v>
      </c>
      <c r="C154" s="11">
        <v>2011</v>
      </c>
      <c r="D154" s="12" t="s">
        <v>48</v>
      </c>
      <c r="E154" s="12" t="s">
        <v>58</v>
      </c>
      <c r="F154" s="12">
        <v>3</v>
      </c>
      <c r="G154" s="12">
        <v>10</v>
      </c>
      <c r="H154" s="11">
        <v>1</v>
      </c>
      <c r="I154" s="39" t="s">
        <v>29</v>
      </c>
      <c r="J154" s="11">
        <v>2011</v>
      </c>
      <c r="K154" s="35">
        <v>5915</v>
      </c>
      <c r="L154" s="11">
        <v>25</v>
      </c>
      <c r="M154" s="11"/>
      <c r="N154" s="11"/>
      <c r="O154" s="11"/>
      <c r="P154" s="11"/>
      <c r="Q154" s="11"/>
      <c r="R154" s="12"/>
      <c r="S154" s="12"/>
      <c r="T154" s="54"/>
      <c r="U154" s="12"/>
      <c r="V154" s="12"/>
      <c r="W154" s="12"/>
      <c r="X154" s="12"/>
      <c r="Y154" s="12"/>
      <c r="Z154" s="12"/>
      <c r="AA154" s="12"/>
      <c r="AB154" s="12"/>
      <c r="AC154" s="12"/>
      <c r="AE154" s="42"/>
      <c r="AG154" s="42"/>
      <c r="AJ154" s="42"/>
    </row>
    <row r="155" spans="1:36" x14ac:dyDescent="0.2">
      <c r="A155" s="11">
        <v>10</v>
      </c>
      <c r="B155" s="39" t="s">
        <v>27</v>
      </c>
      <c r="C155" s="11">
        <v>2011</v>
      </c>
      <c r="D155" s="12" t="s">
        <v>66</v>
      </c>
      <c r="E155" s="12" t="s">
        <v>59</v>
      </c>
      <c r="F155" s="12">
        <v>3</v>
      </c>
      <c r="G155" s="12">
        <v>10</v>
      </c>
      <c r="H155" s="11">
        <v>1</v>
      </c>
      <c r="I155" s="39" t="s">
        <v>29</v>
      </c>
      <c r="J155" s="11">
        <v>2011</v>
      </c>
      <c r="K155" s="35">
        <v>9.8800000000000008</v>
      </c>
      <c r="L155" s="11"/>
      <c r="M155" s="11"/>
      <c r="N155" s="11"/>
      <c r="O155" s="11"/>
      <c r="P155" s="11"/>
      <c r="Q155" s="11"/>
      <c r="R155" s="12"/>
      <c r="S155" s="12"/>
      <c r="T155" s="54">
        <v>15</v>
      </c>
      <c r="U155" s="12"/>
      <c r="V155" s="12"/>
      <c r="W155" s="12"/>
      <c r="X155" s="12"/>
      <c r="Y155" s="12"/>
      <c r="Z155" s="12"/>
      <c r="AA155" s="12"/>
      <c r="AB155" s="12"/>
      <c r="AC155" s="12"/>
      <c r="AE155" s="42"/>
      <c r="AG155" s="42"/>
      <c r="AJ155" s="42"/>
    </row>
    <row r="156" spans="1:36" x14ac:dyDescent="0.2">
      <c r="A156" s="11">
        <v>17</v>
      </c>
      <c r="B156" s="39" t="s">
        <v>27</v>
      </c>
      <c r="C156" s="11">
        <v>2011</v>
      </c>
      <c r="D156" s="12" t="s">
        <v>49</v>
      </c>
      <c r="E156" s="12" t="s">
        <v>58</v>
      </c>
      <c r="F156" s="12">
        <v>3</v>
      </c>
      <c r="G156" s="12">
        <v>10</v>
      </c>
      <c r="H156" s="11">
        <v>1</v>
      </c>
      <c r="I156" s="39" t="s">
        <v>29</v>
      </c>
      <c r="J156" s="11">
        <v>2011</v>
      </c>
      <c r="K156" s="35">
        <v>5200</v>
      </c>
      <c r="L156" s="11"/>
      <c r="M156" s="11"/>
      <c r="N156" s="11"/>
      <c r="O156" s="11"/>
      <c r="P156" s="11">
        <v>20</v>
      </c>
      <c r="Q156" s="11"/>
      <c r="R156" s="12"/>
      <c r="S156" s="12"/>
      <c r="T156" s="54"/>
      <c r="U156" s="12"/>
      <c r="V156" s="12"/>
      <c r="W156" s="12"/>
      <c r="X156" s="12"/>
      <c r="Y156" s="12"/>
      <c r="Z156" s="12"/>
      <c r="AA156" s="12"/>
      <c r="AB156" s="12"/>
      <c r="AC156" s="12"/>
      <c r="AE156" s="42"/>
      <c r="AG156" s="42"/>
      <c r="AJ156" s="42"/>
    </row>
    <row r="157" spans="1:36" x14ac:dyDescent="0.2">
      <c r="A157" s="11">
        <v>17</v>
      </c>
      <c r="B157" s="39" t="s">
        <v>27</v>
      </c>
      <c r="C157" s="11">
        <v>2011</v>
      </c>
      <c r="D157" s="12" t="s">
        <v>65</v>
      </c>
      <c r="E157" s="12" t="s">
        <v>59</v>
      </c>
      <c r="F157" s="12">
        <v>3</v>
      </c>
      <c r="G157" s="12">
        <v>10</v>
      </c>
      <c r="H157" s="11">
        <v>1</v>
      </c>
      <c r="I157" s="39" t="s">
        <v>29</v>
      </c>
      <c r="J157" s="11">
        <v>2011</v>
      </c>
      <c r="K157" s="35">
        <v>1.75</v>
      </c>
      <c r="L157" s="11"/>
      <c r="M157" s="11"/>
      <c r="N157" s="11"/>
      <c r="O157" s="11"/>
      <c r="P157" s="11"/>
      <c r="Q157" s="11"/>
      <c r="R157" s="12"/>
      <c r="S157" s="12"/>
      <c r="T157" s="54">
        <v>10</v>
      </c>
      <c r="U157" s="12"/>
      <c r="V157" s="12"/>
      <c r="W157" s="12"/>
      <c r="X157" s="12"/>
      <c r="Y157" s="12"/>
      <c r="Z157" s="12"/>
      <c r="AA157" s="12"/>
      <c r="AB157" s="12"/>
      <c r="AC157" s="12"/>
      <c r="AE157" s="42"/>
      <c r="AG157" s="42"/>
      <c r="AJ157" s="42"/>
    </row>
    <row r="158" spans="1:36" x14ac:dyDescent="0.2">
      <c r="A158" s="9">
        <v>24</v>
      </c>
      <c r="B158" s="40" t="s">
        <v>27</v>
      </c>
      <c r="C158" s="9">
        <v>2011</v>
      </c>
      <c r="D158" s="10" t="s">
        <v>12</v>
      </c>
      <c r="E158" s="10" t="s">
        <v>58</v>
      </c>
      <c r="F158" s="10"/>
      <c r="G158" s="10"/>
      <c r="H158" s="9"/>
      <c r="I158" s="40" t="s">
        <v>28</v>
      </c>
      <c r="J158" s="9">
        <v>2011</v>
      </c>
      <c r="K158" s="34">
        <v>5545.58</v>
      </c>
      <c r="L158" s="9">
        <v>55</v>
      </c>
      <c r="M158" s="9"/>
      <c r="N158" s="9"/>
      <c r="O158" s="9"/>
      <c r="P158" s="9"/>
      <c r="Q158" s="9"/>
      <c r="R158" s="10"/>
      <c r="S158" s="10"/>
      <c r="T158" s="55"/>
      <c r="U158" s="10">
        <v>5</v>
      </c>
      <c r="V158" s="10"/>
      <c r="W158" s="10"/>
      <c r="X158" s="10"/>
      <c r="Y158" s="10"/>
      <c r="Z158" s="10"/>
      <c r="AA158" s="10"/>
      <c r="AB158" s="10"/>
      <c r="AC158" s="10"/>
      <c r="AE158" s="42"/>
      <c r="AG158" s="42"/>
      <c r="AJ158" s="42"/>
    </row>
    <row r="159" spans="1:36" x14ac:dyDescent="0.2">
      <c r="A159" s="9">
        <v>24</v>
      </c>
      <c r="B159" s="40" t="s">
        <v>27</v>
      </c>
      <c r="C159" s="9">
        <v>2011</v>
      </c>
      <c r="D159" s="10" t="s">
        <v>15</v>
      </c>
      <c r="E159" s="10" t="s">
        <v>59</v>
      </c>
      <c r="F159" s="10"/>
      <c r="G159" s="10"/>
      <c r="H159" s="9"/>
      <c r="I159" s="40" t="s">
        <v>28</v>
      </c>
      <c r="J159" s="9">
        <v>2011</v>
      </c>
      <c r="K159" s="34">
        <v>0.05</v>
      </c>
      <c r="L159" s="9"/>
      <c r="M159" s="9"/>
      <c r="N159" s="9"/>
      <c r="O159" s="9"/>
      <c r="P159" s="9"/>
      <c r="Q159" s="9"/>
      <c r="R159" s="10"/>
      <c r="S159" s="10"/>
      <c r="T159" s="55"/>
      <c r="U159" s="10">
        <v>290</v>
      </c>
      <c r="V159" s="10"/>
      <c r="W159" s="10"/>
      <c r="X159" s="10"/>
      <c r="Y159" s="10"/>
      <c r="Z159" s="10"/>
      <c r="AA159" s="10"/>
      <c r="AB159" s="10"/>
      <c r="AC159" s="10"/>
      <c r="AE159" s="42"/>
      <c r="AG159" s="42"/>
      <c r="AJ159" s="42"/>
    </row>
    <row r="160" spans="1:36" x14ac:dyDescent="0.2">
      <c r="A160" s="11">
        <v>24</v>
      </c>
      <c r="B160" s="39" t="s">
        <v>27</v>
      </c>
      <c r="C160" s="11">
        <v>2011</v>
      </c>
      <c r="D160" s="12" t="s">
        <v>6</v>
      </c>
      <c r="E160" s="12" t="s">
        <v>58</v>
      </c>
      <c r="F160" s="12">
        <f t="shared" ref="F160:F163" si="12">SUMIF($AP$5:$AP$26,D160,$AU$5:$AU$26)</f>
        <v>12</v>
      </c>
      <c r="G160" s="12">
        <f t="shared" ref="G160:G165" si="13">SUMIF($AM$5:$AM$26,I160,$AL$5:$AL$26)</f>
        <v>10</v>
      </c>
      <c r="H160" s="11">
        <v>1</v>
      </c>
      <c r="I160" s="39" t="s">
        <v>29</v>
      </c>
      <c r="J160" s="11">
        <v>2011</v>
      </c>
      <c r="K160" s="35">
        <v>7050</v>
      </c>
      <c r="L160" s="11"/>
      <c r="M160" s="11"/>
      <c r="N160" s="11"/>
      <c r="O160" s="11"/>
      <c r="P160" s="11">
        <v>50</v>
      </c>
      <c r="Q160" s="11"/>
      <c r="R160" s="12"/>
      <c r="S160" s="12"/>
      <c r="T160" s="54"/>
      <c r="U160" s="12"/>
      <c r="V160" s="12"/>
      <c r="W160" s="12"/>
      <c r="X160" s="12"/>
      <c r="Y160" s="12"/>
      <c r="Z160" s="12"/>
      <c r="AA160" s="12"/>
      <c r="AB160" s="12"/>
      <c r="AC160" s="12"/>
      <c r="AE160" s="42"/>
      <c r="AG160" s="42"/>
      <c r="AJ160" s="42"/>
    </row>
    <row r="161" spans="1:36" x14ac:dyDescent="0.2">
      <c r="A161" s="11">
        <v>24</v>
      </c>
      <c r="B161" s="39" t="s">
        <v>27</v>
      </c>
      <c r="C161" s="11">
        <v>2011</v>
      </c>
      <c r="D161" s="12" t="s">
        <v>6</v>
      </c>
      <c r="E161" s="12" t="s">
        <v>58</v>
      </c>
      <c r="F161" s="12">
        <f t="shared" si="12"/>
        <v>12</v>
      </c>
      <c r="G161" s="12">
        <f t="shared" si="13"/>
        <v>10</v>
      </c>
      <c r="H161" s="11">
        <v>1</v>
      </c>
      <c r="I161" s="39" t="s">
        <v>29</v>
      </c>
      <c r="J161" s="11">
        <v>2012</v>
      </c>
      <c r="K161" s="35">
        <v>3606.52</v>
      </c>
      <c r="L161" s="11">
        <v>10</v>
      </c>
      <c r="M161" s="11"/>
      <c r="N161" s="11"/>
      <c r="O161" s="11">
        <v>10</v>
      </c>
      <c r="P161" s="11"/>
      <c r="Q161" s="11"/>
      <c r="R161" s="12"/>
      <c r="S161" s="12"/>
      <c r="T161" s="54"/>
      <c r="U161" s="12"/>
      <c r="V161" s="12"/>
      <c r="W161" s="12"/>
      <c r="X161" s="12"/>
      <c r="Y161" s="12"/>
      <c r="Z161" s="12"/>
      <c r="AA161" s="12"/>
      <c r="AB161" s="12"/>
      <c r="AC161" s="12"/>
      <c r="AE161" s="42"/>
      <c r="AG161" s="42"/>
      <c r="AJ161" s="42"/>
    </row>
    <row r="162" spans="1:36" x14ac:dyDescent="0.2">
      <c r="A162" s="11">
        <v>24</v>
      </c>
      <c r="B162" s="39" t="s">
        <v>27</v>
      </c>
      <c r="C162" s="11">
        <v>2011</v>
      </c>
      <c r="D162" s="12" t="s">
        <v>6</v>
      </c>
      <c r="E162" s="12" t="s">
        <v>58</v>
      </c>
      <c r="F162" s="12">
        <f t="shared" si="12"/>
        <v>12</v>
      </c>
      <c r="G162" s="12">
        <f t="shared" si="13"/>
        <v>10</v>
      </c>
      <c r="H162" s="11">
        <v>1</v>
      </c>
      <c r="I162" s="39" t="s">
        <v>29</v>
      </c>
      <c r="J162" s="11">
        <v>2013</v>
      </c>
      <c r="K162" s="35">
        <v>2330</v>
      </c>
      <c r="L162" s="11"/>
      <c r="M162" s="11"/>
      <c r="N162" s="11"/>
      <c r="O162" s="11"/>
      <c r="P162" s="11">
        <v>10</v>
      </c>
      <c r="Q162" s="11"/>
      <c r="R162" s="12"/>
      <c r="S162" s="12"/>
      <c r="T162" s="54"/>
      <c r="U162" s="12"/>
      <c r="V162" s="12"/>
      <c r="W162" s="12"/>
      <c r="X162" s="12"/>
      <c r="Y162" s="12"/>
      <c r="Z162" s="12"/>
      <c r="AA162" s="12"/>
      <c r="AB162" s="12"/>
      <c r="AC162" s="12"/>
      <c r="AE162" s="42"/>
      <c r="AG162" s="42"/>
      <c r="AJ162" s="42"/>
    </row>
    <row r="163" spans="1:36" x14ac:dyDescent="0.2">
      <c r="A163" s="11">
        <v>24</v>
      </c>
      <c r="B163" s="39" t="s">
        <v>27</v>
      </c>
      <c r="C163" s="11">
        <v>2011</v>
      </c>
      <c r="D163" s="12" t="s">
        <v>14</v>
      </c>
      <c r="E163" s="12" t="s">
        <v>59</v>
      </c>
      <c r="F163" s="12">
        <f t="shared" si="12"/>
        <v>11</v>
      </c>
      <c r="G163" s="12">
        <f t="shared" si="13"/>
        <v>10</v>
      </c>
      <c r="H163" s="11">
        <v>1</v>
      </c>
      <c r="I163" s="39" t="s">
        <v>29</v>
      </c>
      <c r="J163" s="11">
        <v>2011</v>
      </c>
      <c r="K163" s="35">
        <v>10.41</v>
      </c>
      <c r="L163" s="11"/>
      <c r="M163" s="11"/>
      <c r="N163" s="11"/>
      <c r="O163" s="11">
        <v>20</v>
      </c>
      <c r="P163" s="11"/>
      <c r="Q163" s="11"/>
      <c r="R163" s="12"/>
      <c r="S163" s="12"/>
      <c r="T163" s="54"/>
      <c r="U163" s="12">
        <v>10</v>
      </c>
      <c r="V163" s="12"/>
      <c r="W163" s="12"/>
      <c r="X163" s="12"/>
      <c r="Y163" s="12"/>
      <c r="Z163" s="12"/>
      <c r="AA163" s="12"/>
      <c r="AB163" s="12"/>
      <c r="AC163" s="12"/>
      <c r="AE163" s="42"/>
      <c r="AG163" s="42"/>
      <c r="AJ163" s="42"/>
    </row>
    <row r="164" spans="1:36" x14ac:dyDescent="0.2">
      <c r="A164" s="9">
        <v>24</v>
      </c>
      <c r="B164" s="40" t="s">
        <v>20</v>
      </c>
      <c r="C164" s="9">
        <v>2012</v>
      </c>
      <c r="D164" s="10" t="s">
        <v>15</v>
      </c>
      <c r="E164" s="10" t="s">
        <v>59</v>
      </c>
      <c r="F164" s="10"/>
      <c r="G164" s="10">
        <v>3</v>
      </c>
      <c r="H164" s="9"/>
      <c r="I164" s="40" t="s">
        <v>21</v>
      </c>
      <c r="J164" s="9">
        <v>2012</v>
      </c>
      <c r="K164" s="34">
        <v>0</v>
      </c>
      <c r="L164" s="9"/>
      <c r="M164" s="9"/>
      <c r="N164" s="9"/>
      <c r="O164" s="9">
        <v>75</v>
      </c>
      <c r="P164" s="9"/>
      <c r="Q164" s="9"/>
      <c r="R164" s="10"/>
      <c r="S164" s="10">
        <v>75</v>
      </c>
      <c r="T164" s="55">
        <v>20</v>
      </c>
      <c r="U164" s="10">
        <v>40</v>
      </c>
      <c r="V164" s="10"/>
      <c r="W164" s="10"/>
      <c r="X164" s="10"/>
      <c r="Y164" s="10"/>
      <c r="Z164" s="10"/>
      <c r="AA164" s="10"/>
      <c r="AB164" s="10"/>
      <c r="AC164" s="10"/>
      <c r="AE164" s="42"/>
      <c r="AG164" s="42"/>
      <c r="AJ164" s="42"/>
    </row>
    <row r="165" spans="1:36" x14ac:dyDescent="0.2">
      <c r="A165" s="11">
        <v>21</v>
      </c>
      <c r="B165" s="39" t="s">
        <v>21</v>
      </c>
      <c r="C165" s="11">
        <v>2012</v>
      </c>
      <c r="D165" s="12" t="s">
        <v>12</v>
      </c>
      <c r="E165" s="12" t="s">
        <v>58</v>
      </c>
      <c r="F165" s="12"/>
      <c r="G165" s="12">
        <f t="shared" si="13"/>
        <v>3</v>
      </c>
      <c r="H165" s="11"/>
      <c r="I165" s="39" t="s">
        <v>22</v>
      </c>
      <c r="J165" s="11">
        <v>2012</v>
      </c>
      <c r="K165" s="35">
        <f>7.11*24*31</f>
        <v>5289.84</v>
      </c>
      <c r="L165" s="11"/>
      <c r="M165" s="11"/>
      <c r="N165" s="11"/>
      <c r="O165" s="11">
        <v>30</v>
      </c>
      <c r="P165" s="11">
        <v>50</v>
      </c>
      <c r="Q165" s="11"/>
      <c r="R165" s="12"/>
      <c r="S165" s="12">
        <v>20</v>
      </c>
      <c r="T165" s="54">
        <v>10</v>
      </c>
      <c r="U165" s="12"/>
      <c r="V165" s="12"/>
      <c r="W165" s="12"/>
      <c r="X165" s="12"/>
      <c r="Y165" s="12"/>
      <c r="Z165" s="12"/>
      <c r="AA165" s="12"/>
      <c r="AB165" s="12"/>
      <c r="AC165" s="12"/>
      <c r="AE165" s="42"/>
      <c r="AG165" s="42"/>
      <c r="AJ165" s="42"/>
    </row>
    <row r="166" spans="1:36" x14ac:dyDescent="0.2">
      <c r="A166" s="11">
        <v>21</v>
      </c>
      <c r="B166" s="39" t="s">
        <v>21</v>
      </c>
      <c r="C166" s="11">
        <v>2012</v>
      </c>
      <c r="D166" s="12" t="s">
        <v>15</v>
      </c>
      <c r="E166" s="12" t="s">
        <v>59</v>
      </c>
      <c r="F166" s="12"/>
      <c r="G166" s="12">
        <f t="shared" ref="G166" si="14">SUMIF($AM$5:$AM$26,I166,$AL$5:$AL$26)</f>
        <v>3</v>
      </c>
      <c r="H166" s="11"/>
      <c r="I166" s="39" t="s">
        <v>22</v>
      </c>
      <c r="J166" s="11">
        <v>2012</v>
      </c>
      <c r="K166" s="35">
        <v>0</v>
      </c>
      <c r="L166" s="11"/>
      <c r="M166" s="11"/>
      <c r="N166" s="11"/>
      <c r="O166" s="11">
        <v>185</v>
      </c>
      <c r="P166" s="11"/>
      <c r="Q166" s="11"/>
      <c r="R166" s="12"/>
      <c r="S166" s="12"/>
      <c r="T166" s="54">
        <v>25</v>
      </c>
      <c r="U166" s="12"/>
      <c r="V166" s="12"/>
      <c r="W166" s="12"/>
      <c r="X166" s="12"/>
      <c r="Y166" s="12"/>
      <c r="Z166" s="12"/>
      <c r="AA166" s="12"/>
      <c r="AB166" s="12"/>
      <c r="AC166" s="12"/>
      <c r="AE166" s="42"/>
      <c r="AG166" s="42"/>
      <c r="AJ166" s="42"/>
    </row>
    <row r="167" spans="1:36" x14ac:dyDescent="0.2">
      <c r="A167" s="9">
        <v>22</v>
      </c>
      <c r="B167" s="40" t="s">
        <v>21</v>
      </c>
      <c r="C167" s="9">
        <v>2012</v>
      </c>
      <c r="D167" s="10" t="s">
        <v>48</v>
      </c>
      <c r="E167" s="10" t="s">
        <v>58</v>
      </c>
      <c r="F167" s="10"/>
      <c r="G167" s="10">
        <v>3</v>
      </c>
      <c r="H167" s="9"/>
      <c r="I167" s="40" t="s">
        <v>23</v>
      </c>
      <c r="J167" s="9">
        <v>2012</v>
      </c>
      <c r="K167" s="34">
        <f>7.11*24*183/6</f>
        <v>5204.5200000000004</v>
      </c>
      <c r="L167" s="9"/>
      <c r="M167" s="9"/>
      <c r="N167" s="9"/>
      <c r="O167" s="9"/>
      <c r="P167" s="9">
        <v>15</v>
      </c>
      <c r="Q167" s="9"/>
      <c r="R167" s="10"/>
      <c r="S167" s="10">
        <v>10</v>
      </c>
      <c r="T167" s="55"/>
      <c r="U167" s="10"/>
      <c r="V167" s="10"/>
      <c r="W167" s="10"/>
      <c r="X167" s="10"/>
      <c r="Y167" s="10"/>
      <c r="Z167" s="10"/>
      <c r="AA167" s="10"/>
      <c r="AB167" s="10"/>
      <c r="AC167" s="10"/>
      <c r="AE167" s="42"/>
      <c r="AG167" s="42"/>
      <c r="AJ167" s="42"/>
    </row>
    <row r="168" spans="1:36" x14ac:dyDescent="0.2">
      <c r="A168" s="9">
        <v>22</v>
      </c>
      <c r="B168" s="40" t="s">
        <v>21</v>
      </c>
      <c r="C168" s="9">
        <v>2012</v>
      </c>
      <c r="D168" s="10" t="s">
        <v>66</v>
      </c>
      <c r="E168" s="10" t="s">
        <v>59</v>
      </c>
      <c r="F168" s="10"/>
      <c r="G168" s="10">
        <v>3</v>
      </c>
      <c r="H168" s="9"/>
      <c r="I168" s="40" t="s">
        <v>23</v>
      </c>
      <c r="J168" s="9">
        <v>2012</v>
      </c>
      <c r="K168" s="34">
        <f>0.02*24*183/6</f>
        <v>14.64</v>
      </c>
      <c r="L168" s="9"/>
      <c r="M168" s="9"/>
      <c r="N168" s="9"/>
      <c r="O168" s="9"/>
      <c r="P168" s="9"/>
      <c r="Q168" s="9"/>
      <c r="R168" s="10"/>
      <c r="S168" s="10"/>
      <c r="T168" s="55">
        <v>14</v>
      </c>
      <c r="U168" s="10"/>
      <c r="V168" s="10"/>
      <c r="W168" s="10"/>
      <c r="X168" s="10"/>
      <c r="Y168" s="10"/>
      <c r="Z168" s="10"/>
      <c r="AA168" s="10"/>
      <c r="AB168" s="10"/>
      <c r="AC168" s="10"/>
      <c r="AE168" s="42"/>
      <c r="AG168" s="42"/>
      <c r="AJ168" s="42"/>
    </row>
    <row r="169" spans="1:36" x14ac:dyDescent="0.2">
      <c r="A169" s="11">
        <v>23</v>
      </c>
      <c r="B169" s="39" t="s">
        <v>21</v>
      </c>
      <c r="C169" s="11">
        <v>2012</v>
      </c>
      <c r="D169" s="12" t="s">
        <v>49</v>
      </c>
      <c r="E169" s="12" t="s">
        <v>58</v>
      </c>
      <c r="F169" s="12"/>
      <c r="G169" s="12">
        <v>3</v>
      </c>
      <c r="H169" s="11"/>
      <c r="I169" s="39" t="s">
        <v>23</v>
      </c>
      <c r="J169" s="11">
        <v>2012</v>
      </c>
      <c r="K169" s="35">
        <f>6.12*24*91/3</f>
        <v>4455.3599999999997</v>
      </c>
      <c r="L169" s="11">
        <v>5</v>
      </c>
      <c r="M169" s="11"/>
      <c r="N169" s="11"/>
      <c r="O169" s="11"/>
      <c r="P169" s="11"/>
      <c r="Q169" s="11"/>
      <c r="R169" s="12"/>
      <c r="S169" s="12">
        <v>10</v>
      </c>
      <c r="T169" s="54">
        <v>5</v>
      </c>
      <c r="U169" s="12"/>
      <c r="V169" s="12"/>
      <c r="W169" s="12"/>
      <c r="X169" s="12"/>
      <c r="Y169" s="12"/>
      <c r="Z169" s="12"/>
      <c r="AA169" s="12"/>
      <c r="AB169" s="12"/>
      <c r="AC169" s="12"/>
      <c r="AE169" s="42"/>
      <c r="AG169" s="42"/>
      <c r="AJ169" s="42"/>
    </row>
    <row r="170" spans="1:36" x14ac:dyDescent="0.2">
      <c r="A170" s="11">
        <v>23</v>
      </c>
      <c r="B170" s="39" t="s">
        <v>21</v>
      </c>
      <c r="C170" s="11">
        <v>2012</v>
      </c>
      <c r="D170" s="12" t="s">
        <v>65</v>
      </c>
      <c r="E170" s="12" t="s">
        <v>59</v>
      </c>
      <c r="F170" s="12"/>
      <c r="G170" s="12">
        <v>3</v>
      </c>
      <c r="H170" s="11"/>
      <c r="I170" s="39" t="s">
        <v>23</v>
      </c>
      <c r="J170" s="11">
        <v>2012</v>
      </c>
      <c r="K170" s="35">
        <f>0.01*24*91/3</f>
        <v>7.28</v>
      </c>
      <c r="L170" s="11"/>
      <c r="M170" s="11"/>
      <c r="N170" s="11"/>
      <c r="O170" s="11"/>
      <c r="P170" s="11"/>
      <c r="Q170" s="11"/>
      <c r="R170" s="12"/>
      <c r="S170" s="12"/>
      <c r="T170" s="54">
        <v>10</v>
      </c>
      <c r="U170" s="12"/>
      <c r="V170" s="12"/>
      <c r="W170" s="12"/>
      <c r="X170" s="12"/>
      <c r="Y170" s="12"/>
      <c r="Z170" s="12"/>
      <c r="AA170" s="12"/>
      <c r="AB170" s="12"/>
      <c r="AC170" s="12"/>
      <c r="AE170" s="42"/>
      <c r="AG170" s="42"/>
      <c r="AJ170" s="42"/>
    </row>
    <row r="171" spans="1:36" x14ac:dyDescent="0.2">
      <c r="A171" s="9">
        <v>22</v>
      </c>
      <c r="B171" s="40" t="s">
        <v>22</v>
      </c>
      <c r="C171" s="9">
        <v>2012</v>
      </c>
      <c r="D171" s="10" t="s">
        <v>12</v>
      </c>
      <c r="E171" s="10" t="s">
        <v>58</v>
      </c>
      <c r="F171" s="10"/>
      <c r="G171" s="10"/>
      <c r="H171" s="9"/>
      <c r="I171" s="40" t="s">
        <v>23</v>
      </c>
      <c r="J171" s="9">
        <v>2012</v>
      </c>
      <c r="K171" s="34">
        <v>5457.6</v>
      </c>
      <c r="L171" s="9"/>
      <c r="M171" s="9"/>
      <c r="N171" s="9"/>
      <c r="O171" s="9"/>
      <c r="P171" s="9">
        <v>50</v>
      </c>
      <c r="Q171" s="9"/>
      <c r="R171" s="10"/>
      <c r="S171" s="10"/>
      <c r="T171" s="55">
        <v>5</v>
      </c>
      <c r="U171" s="10"/>
      <c r="V171" s="10"/>
      <c r="W171" s="10"/>
      <c r="X171" s="10"/>
      <c r="Y171" s="10"/>
      <c r="Z171" s="10"/>
      <c r="AA171" s="10"/>
      <c r="AB171" s="10"/>
      <c r="AC171" s="10"/>
      <c r="AE171" s="42"/>
      <c r="AG171" s="42"/>
    </row>
    <row r="172" spans="1:36" x14ac:dyDescent="0.2">
      <c r="A172" s="9">
        <v>22</v>
      </c>
      <c r="B172" s="40" t="s">
        <v>22</v>
      </c>
      <c r="C172" s="9">
        <v>2012</v>
      </c>
      <c r="D172" s="10" t="s">
        <v>15</v>
      </c>
      <c r="E172" s="10" t="s">
        <v>59</v>
      </c>
      <c r="F172" s="10"/>
      <c r="G172" s="10"/>
      <c r="H172" s="9"/>
      <c r="I172" s="40" t="s">
        <v>23</v>
      </c>
      <c r="J172" s="9">
        <v>2012</v>
      </c>
      <c r="K172" s="34">
        <v>0</v>
      </c>
      <c r="L172" s="9"/>
      <c r="M172" s="9"/>
      <c r="N172" s="9"/>
      <c r="O172" s="9">
        <v>184</v>
      </c>
      <c r="P172" s="9"/>
      <c r="Q172" s="9"/>
      <c r="R172" s="10"/>
      <c r="S172" s="10"/>
      <c r="T172" s="55">
        <v>17</v>
      </c>
      <c r="U172" s="10"/>
      <c r="V172" s="10"/>
      <c r="W172" s="10"/>
      <c r="X172" s="10"/>
      <c r="Y172" s="10"/>
      <c r="Z172" s="10"/>
      <c r="AA172" s="10"/>
      <c r="AB172" s="10"/>
      <c r="AC172" s="10"/>
      <c r="AE172" s="42"/>
      <c r="AG172" s="42"/>
    </row>
    <row r="173" spans="1:36" x14ac:dyDescent="0.2">
      <c r="A173" s="11">
        <v>20</v>
      </c>
      <c r="B173" s="39" t="s">
        <v>23</v>
      </c>
      <c r="C173" s="11">
        <v>2012</v>
      </c>
      <c r="D173" s="12" t="s">
        <v>12</v>
      </c>
      <c r="E173" s="12" t="s">
        <v>58</v>
      </c>
      <c r="F173" s="12"/>
      <c r="G173" s="12"/>
      <c r="H173" s="11"/>
      <c r="I173" s="39" t="s">
        <v>24</v>
      </c>
      <c r="J173" s="11">
        <v>2012</v>
      </c>
      <c r="K173" s="35">
        <v>5818.08</v>
      </c>
      <c r="L173" s="11"/>
      <c r="M173" s="11"/>
      <c r="N173" s="11"/>
      <c r="O173" s="11"/>
      <c r="P173" s="11"/>
      <c r="Q173" s="11"/>
      <c r="R173" s="12"/>
      <c r="S173" s="12"/>
      <c r="T173" s="54">
        <v>5</v>
      </c>
      <c r="U173" s="12">
        <v>45</v>
      </c>
      <c r="V173" s="12"/>
      <c r="W173" s="12"/>
      <c r="X173" s="12"/>
      <c r="Y173" s="12"/>
      <c r="Z173" s="12"/>
      <c r="AA173" s="12"/>
      <c r="AB173" s="12"/>
      <c r="AC173" s="12"/>
      <c r="AE173" s="42"/>
      <c r="AG173" s="42"/>
    </row>
    <row r="174" spans="1:36" x14ac:dyDescent="0.2">
      <c r="A174" s="11">
        <v>20</v>
      </c>
      <c r="B174" s="39" t="s">
        <v>23</v>
      </c>
      <c r="C174" s="11">
        <v>2012</v>
      </c>
      <c r="D174" s="12" t="s">
        <v>15</v>
      </c>
      <c r="E174" s="12" t="s">
        <v>59</v>
      </c>
      <c r="F174" s="12"/>
      <c r="G174" s="12"/>
      <c r="H174" s="11"/>
      <c r="I174" s="39" t="s">
        <v>24</v>
      </c>
      <c r="J174" s="11">
        <v>2012</v>
      </c>
      <c r="K174" s="35">
        <v>0</v>
      </c>
      <c r="L174" s="11"/>
      <c r="M174" s="11"/>
      <c r="N174" s="11"/>
      <c r="O174" s="11">
        <v>176</v>
      </c>
      <c r="P174" s="11"/>
      <c r="Q174" s="11"/>
      <c r="R174" s="12"/>
      <c r="S174" s="12"/>
      <c r="T174" s="54">
        <v>17</v>
      </c>
      <c r="U174" s="12"/>
      <c r="V174" s="12"/>
      <c r="W174" s="12"/>
      <c r="X174" s="12"/>
      <c r="Y174" s="12"/>
      <c r="Z174" s="12"/>
      <c r="AA174" s="12"/>
      <c r="AB174" s="12"/>
      <c r="AC174" s="12"/>
      <c r="AE174" s="42"/>
      <c r="AG174" s="42"/>
    </row>
    <row r="175" spans="1:36" x14ac:dyDescent="0.2">
      <c r="A175" s="9">
        <v>24</v>
      </c>
      <c r="B175" s="40" t="s">
        <v>24</v>
      </c>
      <c r="C175" s="9">
        <v>2012</v>
      </c>
      <c r="D175" s="10" t="s">
        <v>12</v>
      </c>
      <c r="E175" s="10" t="s">
        <v>58</v>
      </c>
      <c r="F175" s="10"/>
      <c r="G175" s="10"/>
      <c r="H175" s="9"/>
      <c r="I175" s="40" t="s">
        <v>25</v>
      </c>
      <c r="J175" s="9">
        <v>2012</v>
      </c>
      <c r="K175" s="34">
        <f>7.42*24*31</f>
        <v>5520.48</v>
      </c>
      <c r="L175" s="9">
        <v>30</v>
      </c>
      <c r="M175" s="9"/>
      <c r="N175" s="9"/>
      <c r="O175" s="9">
        <v>3</v>
      </c>
      <c r="P175" s="9">
        <v>12</v>
      </c>
      <c r="Q175" s="9"/>
      <c r="R175" s="10"/>
      <c r="S175" s="10"/>
      <c r="T175" s="55">
        <v>5</v>
      </c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36" x14ac:dyDescent="0.2">
      <c r="A176" s="9">
        <v>24</v>
      </c>
      <c r="B176" s="40" t="s">
        <v>24</v>
      </c>
      <c r="C176" s="9">
        <v>2012</v>
      </c>
      <c r="D176" s="10" t="s">
        <v>15</v>
      </c>
      <c r="E176" s="10" t="s">
        <v>59</v>
      </c>
      <c r="F176" s="10"/>
      <c r="G176" s="10"/>
      <c r="H176" s="9"/>
      <c r="I176" s="40" t="s">
        <v>25</v>
      </c>
      <c r="J176" s="9">
        <v>2012</v>
      </c>
      <c r="K176" s="34">
        <v>0</v>
      </c>
      <c r="L176" s="9"/>
      <c r="M176" s="9"/>
      <c r="N176" s="9"/>
      <c r="O176" s="9">
        <v>176</v>
      </c>
      <c r="P176" s="9"/>
      <c r="Q176" s="9"/>
      <c r="R176" s="10"/>
      <c r="S176" s="10"/>
      <c r="T176" s="55">
        <v>17</v>
      </c>
      <c r="U176" s="10"/>
      <c r="V176" s="10"/>
      <c r="W176" s="10"/>
      <c r="X176" s="10"/>
      <c r="Y176" s="10"/>
      <c r="Z176" s="10"/>
      <c r="AA176" s="10"/>
      <c r="AB176" s="10"/>
      <c r="AC176" s="10"/>
      <c r="AG176" s="61"/>
      <c r="AJ176" s="61"/>
    </row>
    <row r="177" spans="1:36" x14ac:dyDescent="0.2">
      <c r="A177" s="11">
        <v>15</v>
      </c>
      <c r="B177" s="39" t="s">
        <v>25</v>
      </c>
      <c r="C177" s="11">
        <v>2012</v>
      </c>
      <c r="D177" s="12" t="s">
        <v>6</v>
      </c>
      <c r="E177" s="12" t="s">
        <v>58</v>
      </c>
      <c r="F177" s="12">
        <f t="shared" ref="F177:F180" si="15">SUMIF($AP$5:$AP$26,D177,$AU$5:$AU$26)</f>
        <v>12</v>
      </c>
      <c r="G177" s="12">
        <f t="shared" ref="G177:G180" si="16">SUMIF($AM$5:$AM$26,I177,$AL$5:$AL$26)</f>
        <v>10</v>
      </c>
      <c r="H177" s="11">
        <v>1</v>
      </c>
      <c r="I177" s="39" t="s">
        <v>29</v>
      </c>
      <c r="J177" s="11">
        <v>2012</v>
      </c>
      <c r="K177" s="35">
        <f>6.42*24*365/12</f>
        <v>4686.5999999999995</v>
      </c>
      <c r="L177" s="11">
        <v>5</v>
      </c>
      <c r="M177" s="11"/>
      <c r="N177" s="11">
        <v>15</v>
      </c>
      <c r="O177" s="11">
        <v>20</v>
      </c>
      <c r="P177" s="11"/>
      <c r="Q177" s="11"/>
      <c r="R177" s="12"/>
      <c r="S177" s="12">
        <v>25</v>
      </c>
      <c r="T177" s="54"/>
      <c r="U177" s="12"/>
      <c r="V177" s="12"/>
      <c r="W177" s="12"/>
      <c r="X177" s="12"/>
      <c r="Y177" s="12"/>
      <c r="Z177" s="12"/>
      <c r="AA177" s="12"/>
      <c r="AB177" s="12"/>
      <c r="AC177" s="12"/>
    </row>
    <row r="178" spans="1:36" x14ac:dyDescent="0.2">
      <c r="A178" s="11">
        <v>15</v>
      </c>
      <c r="B178" s="39" t="s">
        <v>25</v>
      </c>
      <c r="C178" s="11">
        <v>2012</v>
      </c>
      <c r="D178" s="12" t="s">
        <v>6</v>
      </c>
      <c r="E178" s="12" t="s">
        <v>58</v>
      </c>
      <c r="F178" s="12">
        <f t="shared" si="15"/>
        <v>12</v>
      </c>
      <c r="G178" s="12">
        <f t="shared" si="16"/>
        <v>10</v>
      </c>
      <c r="H178" s="11">
        <v>1</v>
      </c>
      <c r="I178" s="39" t="s">
        <v>29</v>
      </c>
      <c r="J178" s="11">
        <v>2013</v>
      </c>
      <c r="K178" s="35">
        <f>2.5*24*365/12</f>
        <v>1825</v>
      </c>
      <c r="L178" s="11"/>
      <c r="M178" s="11"/>
      <c r="N178" s="11">
        <v>5</v>
      </c>
      <c r="O178" s="11"/>
      <c r="P178" s="11">
        <v>15</v>
      </c>
      <c r="Q178" s="11"/>
      <c r="R178" s="12"/>
      <c r="S178" s="12"/>
      <c r="T178" s="54"/>
      <c r="U178" s="12"/>
      <c r="V178" s="12"/>
      <c r="W178" s="12"/>
      <c r="X178" s="12"/>
      <c r="Y178" s="12"/>
      <c r="Z178" s="12"/>
      <c r="AA178" s="12"/>
      <c r="AB178" s="12"/>
      <c r="AC178" s="12"/>
    </row>
    <row r="179" spans="1:36" x14ac:dyDescent="0.2">
      <c r="A179" s="11">
        <v>15</v>
      </c>
      <c r="B179" s="39" t="s">
        <v>25</v>
      </c>
      <c r="C179" s="11">
        <v>2012</v>
      </c>
      <c r="D179" s="12" t="s">
        <v>6</v>
      </c>
      <c r="E179" s="12" t="s">
        <v>58</v>
      </c>
      <c r="F179" s="12">
        <f t="shared" si="15"/>
        <v>12</v>
      </c>
      <c r="G179" s="12">
        <f t="shared" si="16"/>
        <v>10</v>
      </c>
      <c r="H179" s="11">
        <v>1</v>
      </c>
      <c r="I179" s="39" t="s">
        <v>29</v>
      </c>
      <c r="J179" s="11">
        <v>2014</v>
      </c>
      <c r="K179" s="35">
        <f>1.15*24*365/12</f>
        <v>839.5</v>
      </c>
      <c r="L179" s="11"/>
      <c r="M179" s="11"/>
      <c r="N179" s="11">
        <v>5</v>
      </c>
      <c r="O179" s="11"/>
      <c r="P179" s="11">
        <v>15</v>
      </c>
      <c r="Q179" s="11"/>
      <c r="R179" s="12"/>
      <c r="S179" s="12"/>
      <c r="T179" s="54"/>
      <c r="U179" s="12"/>
      <c r="V179" s="12"/>
      <c r="W179" s="12"/>
      <c r="X179" s="12"/>
      <c r="Y179" s="12"/>
      <c r="Z179" s="12"/>
      <c r="AA179" s="12"/>
      <c r="AB179" s="12"/>
      <c r="AC179" s="12"/>
    </row>
    <row r="180" spans="1:36" x14ac:dyDescent="0.2">
      <c r="A180" s="11">
        <v>15</v>
      </c>
      <c r="B180" s="39" t="s">
        <v>25</v>
      </c>
      <c r="C180" s="11">
        <v>2012</v>
      </c>
      <c r="D180" s="12" t="s">
        <v>14</v>
      </c>
      <c r="E180" s="12" t="s">
        <v>59</v>
      </c>
      <c r="F180" s="12">
        <f t="shared" si="15"/>
        <v>11</v>
      </c>
      <c r="G180" s="12">
        <f t="shared" si="16"/>
        <v>10</v>
      </c>
      <c r="H180" s="11">
        <v>1</v>
      </c>
      <c r="I180" s="39" t="s">
        <v>29</v>
      </c>
      <c r="J180" s="11">
        <v>2012</v>
      </c>
      <c r="K180" s="35">
        <f>0.1*24*365/12</f>
        <v>73.000000000000014</v>
      </c>
      <c r="L180" s="11">
        <v>20</v>
      </c>
      <c r="M180" s="11"/>
      <c r="N180" s="11"/>
      <c r="O180" s="11"/>
      <c r="P180" s="11"/>
      <c r="Q180" s="11"/>
      <c r="R180" s="12"/>
      <c r="S180" s="12"/>
      <c r="T180" s="54"/>
      <c r="U180" s="12"/>
      <c r="V180" s="12"/>
      <c r="W180" s="12"/>
      <c r="X180" s="12"/>
      <c r="Y180" s="12"/>
      <c r="Z180" s="12"/>
      <c r="AA180" s="12"/>
      <c r="AB180" s="12"/>
      <c r="AC180" s="12"/>
    </row>
    <row r="181" spans="1:36" x14ac:dyDescent="0.2">
      <c r="A181" s="11">
        <v>15</v>
      </c>
      <c r="B181" s="39" t="s">
        <v>25</v>
      </c>
      <c r="C181" s="11">
        <v>2012</v>
      </c>
      <c r="D181" s="12" t="s">
        <v>14</v>
      </c>
      <c r="E181" s="12" t="s">
        <v>59</v>
      </c>
      <c r="F181" s="12">
        <f t="shared" ref="F181" si="17">SUMIF($AP$5:$AP$26,D181,$AU$5:$AU$26)</f>
        <v>11</v>
      </c>
      <c r="G181" s="12">
        <f t="shared" ref="G181" si="18">SUMIF($AM$5:$AM$26,I181,$AL$5:$AL$26)</f>
        <v>10</v>
      </c>
      <c r="H181" s="11">
        <v>1</v>
      </c>
      <c r="I181" s="39" t="s">
        <v>29</v>
      </c>
      <c r="J181" s="11">
        <v>2013</v>
      </c>
      <c r="K181" s="35">
        <f>0.17*24*365/12</f>
        <v>124.10000000000001</v>
      </c>
      <c r="L181" s="11">
        <v>10</v>
      </c>
      <c r="M181" s="11"/>
      <c r="N181" s="11"/>
      <c r="O181" s="11"/>
      <c r="P181" s="11"/>
      <c r="Q181" s="11"/>
      <c r="R181" s="12"/>
      <c r="S181" s="12"/>
      <c r="T181" s="54"/>
      <c r="U181" s="12"/>
      <c r="V181" s="12"/>
      <c r="W181" s="12"/>
      <c r="X181" s="12"/>
      <c r="Y181" s="12"/>
      <c r="Z181" s="12"/>
      <c r="AA181" s="12"/>
      <c r="AB181" s="12"/>
      <c r="AC181" s="12"/>
    </row>
    <row r="182" spans="1:36" x14ac:dyDescent="0.2">
      <c r="A182" s="9">
        <v>22</v>
      </c>
      <c r="B182" s="40" t="s">
        <v>25</v>
      </c>
      <c r="C182" s="9">
        <v>2012</v>
      </c>
      <c r="D182" s="10" t="s">
        <v>12</v>
      </c>
      <c r="E182" s="10" t="s">
        <v>58</v>
      </c>
      <c r="F182" s="10"/>
      <c r="G182" s="10"/>
      <c r="H182" s="9"/>
      <c r="I182" s="40" t="s">
        <v>26</v>
      </c>
      <c r="J182" s="9">
        <v>2012</v>
      </c>
      <c r="K182" s="34">
        <f>6.6*31*24</f>
        <v>4910.3999999999996</v>
      </c>
      <c r="L182" s="9"/>
      <c r="M182" s="9"/>
      <c r="N182" s="9"/>
      <c r="O182" s="9"/>
      <c r="P182" s="9">
        <v>35</v>
      </c>
      <c r="Q182" s="9"/>
      <c r="R182" s="10"/>
      <c r="S182" s="10"/>
      <c r="T182" s="55">
        <v>10</v>
      </c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36" x14ac:dyDescent="0.2">
      <c r="A183" s="9">
        <v>22</v>
      </c>
      <c r="B183" s="40" t="s">
        <v>25</v>
      </c>
      <c r="C183" s="9">
        <v>2012</v>
      </c>
      <c r="D183" s="10" t="s">
        <v>15</v>
      </c>
      <c r="E183" s="10" t="s">
        <v>59</v>
      </c>
      <c r="F183" s="10"/>
      <c r="G183" s="10"/>
      <c r="H183" s="9"/>
      <c r="I183" s="40" t="s">
        <v>26</v>
      </c>
      <c r="J183" s="9">
        <v>2012</v>
      </c>
      <c r="K183" s="34">
        <v>0</v>
      </c>
      <c r="L183" s="9"/>
      <c r="M183" s="9"/>
      <c r="N183" s="9"/>
      <c r="O183" s="9">
        <v>16</v>
      </c>
      <c r="P183" s="9"/>
      <c r="Q183" s="9"/>
      <c r="R183" s="10"/>
      <c r="S183" s="10"/>
      <c r="T183" s="55">
        <v>83</v>
      </c>
      <c r="U183" s="10"/>
      <c r="V183" s="10"/>
      <c r="W183" s="10"/>
      <c r="X183" s="10"/>
      <c r="Y183" s="10"/>
      <c r="Z183" s="10"/>
      <c r="AA183" s="10"/>
      <c r="AB183" s="10"/>
      <c r="AC183" s="10"/>
      <c r="AG183" s="61"/>
      <c r="AJ183" s="61"/>
    </row>
    <row r="184" spans="1:36" x14ac:dyDescent="0.2">
      <c r="A184" s="11">
        <v>9</v>
      </c>
      <c r="B184" s="39" t="s">
        <v>27</v>
      </c>
      <c r="C184" s="11">
        <v>2012</v>
      </c>
      <c r="D184" s="12" t="s">
        <v>48</v>
      </c>
      <c r="E184" s="12" t="s">
        <v>58</v>
      </c>
      <c r="F184" s="12"/>
      <c r="G184" s="12"/>
      <c r="H184" s="11"/>
      <c r="I184" s="39" t="s">
        <v>29</v>
      </c>
      <c r="J184" s="11">
        <v>2012</v>
      </c>
      <c r="K184" s="35">
        <f>8.42*182*24/6</f>
        <v>6129.7599999999993</v>
      </c>
      <c r="L184" s="11"/>
      <c r="M184" s="11"/>
      <c r="N184" s="11">
        <v>5</v>
      </c>
      <c r="O184" s="11"/>
      <c r="P184" s="11"/>
      <c r="Q184" s="11"/>
      <c r="R184" s="12"/>
      <c r="S184" s="12"/>
      <c r="T184" s="54"/>
      <c r="U184" s="12">
        <v>10</v>
      </c>
      <c r="V184" s="12"/>
      <c r="W184" s="12"/>
      <c r="X184" s="12"/>
      <c r="Y184" s="12"/>
      <c r="Z184" s="12"/>
      <c r="AA184" s="12"/>
      <c r="AB184" s="12"/>
      <c r="AC184" s="12"/>
    </row>
    <row r="185" spans="1:36" x14ac:dyDescent="0.2">
      <c r="A185" s="11">
        <v>9</v>
      </c>
      <c r="B185" s="39" t="s">
        <v>27</v>
      </c>
      <c r="C185" s="11">
        <v>2012</v>
      </c>
      <c r="D185" s="12" t="s">
        <v>66</v>
      </c>
      <c r="E185" s="12" t="s">
        <v>59</v>
      </c>
      <c r="F185" s="12"/>
      <c r="G185" s="12"/>
      <c r="H185" s="11"/>
      <c r="I185" s="39" t="s">
        <v>29</v>
      </c>
      <c r="J185" s="11">
        <v>2012</v>
      </c>
      <c r="K185" s="35">
        <f>0.05*182*24/6</f>
        <v>36.4</v>
      </c>
      <c r="L185" s="11"/>
      <c r="M185" s="11"/>
      <c r="N185" s="11">
        <v>5</v>
      </c>
      <c r="O185" s="11"/>
      <c r="P185" s="11"/>
      <c r="Q185" s="11"/>
      <c r="R185" s="12"/>
      <c r="S185" s="12"/>
      <c r="T185" s="54">
        <v>10</v>
      </c>
      <c r="U185" s="12"/>
      <c r="V185" s="12"/>
      <c r="W185" s="12"/>
      <c r="X185" s="12"/>
      <c r="Y185" s="12"/>
      <c r="Z185" s="12"/>
      <c r="AA185" s="12"/>
      <c r="AB185" s="12"/>
      <c r="AC185" s="12"/>
    </row>
    <row r="186" spans="1:36" x14ac:dyDescent="0.2">
      <c r="A186" s="9">
        <v>23</v>
      </c>
      <c r="B186" s="40" t="s">
        <v>27</v>
      </c>
      <c r="C186" s="9">
        <v>2012</v>
      </c>
      <c r="D186" s="10" t="s">
        <v>49</v>
      </c>
      <c r="E186" s="10" t="s">
        <v>58</v>
      </c>
      <c r="F186" s="10"/>
      <c r="G186" s="10"/>
      <c r="H186" s="9"/>
      <c r="I186" s="40" t="s">
        <v>29</v>
      </c>
      <c r="J186" s="9">
        <v>2012</v>
      </c>
      <c r="K186" s="34">
        <f>7.52*92*24/3</f>
        <v>5534.7199999999984</v>
      </c>
      <c r="L186" s="9"/>
      <c r="M186" s="9"/>
      <c r="N186" s="9"/>
      <c r="O186" s="9">
        <v>15</v>
      </c>
      <c r="P186" s="9"/>
      <c r="Q186" s="9"/>
      <c r="R186" s="10"/>
      <c r="S186" s="10"/>
      <c r="T186" s="55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36" x14ac:dyDescent="0.2">
      <c r="A187" s="9">
        <v>23</v>
      </c>
      <c r="B187" s="40" t="s">
        <v>27</v>
      </c>
      <c r="C187" s="9">
        <v>2012</v>
      </c>
      <c r="D187" s="10" t="s">
        <v>65</v>
      </c>
      <c r="E187" s="10" t="s">
        <v>59</v>
      </c>
      <c r="F187" s="10"/>
      <c r="G187" s="10"/>
      <c r="H187" s="9"/>
      <c r="I187" s="40" t="s">
        <v>29</v>
      </c>
      <c r="J187" s="9">
        <v>2012</v>
      </c>
      <c r="K187" s="34">
        <v>0</v>
      </c>
      <c r="L187" s="9"/>
      <c r="M187" s="9"/>
      <c r="N187" s="9"/>
      <c r="O187" s="9">
        <v>5</v>
      </c>
      <c r="P187" s="9"/>
      <c r="Q187" s="9"/>
      <c r="R187" s="10"/>
      <c r="S187" s="10"/>
      <c r="T187" s="55">
        <v>5</v>
      </c>
      <c r="U187" s="10"/>
      <c r="V187" s="10"/>
      <c r="W187" s="10"/>
      <c r="X187" s="10"/>
      <c r="Y187" s="10"/>
      <c r="Z187" s="10"/>
      <c r="AA187" s="10"/>
      <c r="AB187" s="10"/>
      <c r="AC187" s="10"/>
      <c r="AG187" s="61"/>
      <c r="AJ187" s="61"/>
    </row>
    <row r="188" spans="1:36" x14ac:dyDescent="0.2">
      <c r="A188" s="11">
        <v>3</v>
      </c>
      <c r="B188" s="39" t="s">
        <v>28</v>
      </c>
      <c r="C188" s="11">
        <v>2012</v>
      </c>
      <c r="D188" s="12" t="s">
        <v>12</v>
      </c>
      <c r="E188" s="12" t="s">
        <v>58</v>
      </c>
      <c r="F188" s="12"/>
      <c r="G188" s="12"/>
      <c r="H188" s="11"/>
      <c r="I188" s="39" t="s">
        <v>29</v>
      </c>
      <c r="J188" s="11">
        <v>2012</v>
      </c>
      <c r="K188" s="35">
        <f>6.19*24*31</f>
        <v>4605.3599999999997</v>
      </c>
      <c r="L188" s="11"/>
      <c r="M188" s="11"/>
      <c r="N188" s="11"/>
      <c r="O188" s="11"/>
      <c r="P188" s="11"/>
      <c r="Q188" s="11"/>
      <c r="R188" s="12"/>
      <c r="S188" s="12"/>
      <c r="T188" s="54">
        <v>3</v>
      </c>
      <c r="U188" s="12">
        <v>17</v>
      </c>
      <c r="V188" s="12"/>
      <c r="W188" s="12"/>
      <c r="X188" s="12"/>
      <c r="Y188" s="12"/>
      <c r="Z188" s="12"/>
      <c r="AA188" s="12"/>
      <c r="AB188" s="12"/>
      <c r="AC188" s="12"/>
    </row>
    <row r="189" spans="1:36" x14ac:dyDescent="0.2">
      <c r="A189" s="11">
        <v>3</v>
      </c>
      <c r="B189" s="39" t="s">
        <v>28</v>
      </c>
      <c r="C189" s="11">
        <v>2012</v>
      </c>
      <c r="D189" s="12" t="s">
        <v>15</v>
      </c>
      <c r="E189" s="12" t="s">
        <v>59</v>
      </c>
      <c r="F189" s="12"/>
      <c r="G189" s="12"/>
      <c r="H189" s="11"/>
      <c r="I189" s="39" t="s">
        <v>29</v>
      </c>
      <c r="J189" s="11">
        <v>2012</v>
      </c>
      <c r="K189" s="35">
        <v>0</v>
      </c>
      <c r="L189" s="11"/>
      <c r="M189" s="11"/>
      <c r="N189" s="11"/>
      <c r="O189" s="11">
        <v>40</v>
      </c>
      <c r="P189" s="11"/>
      <c r="Q189" s="11"/>
      <c r="R189" s="12"/>
      <c r="S189" s="12"/>
      <c r="T189" s="54">
        <v>20</v>
      </c>
      <c r="U189" s="12">
        <v>40</v>
      </c>
      <c r="V189" s="12"/>
      <c r="W189" s="12"/>
      <c r="X189" s="12"/>
      <c r="Y189" s="12"/>
      <c r="Z189" s="12"/>
      <c r="AA189" s="12"/>
      <c r="AB189" s="12"/>
      <c r="AC189" s="12"/>
    </row>
    <row r="190" spans="1:36" x14ac:dyDescent="0.2">
      <c r="A190" s="9">
        <v>4</v>
      </c>
      <c r="B190" s="40" t="s">
        <v>29</v>
      </c>
      <c r="C190" s="9">
        <v>2012</v>
      </c>
      <c r="D190" s="10" t="s">
        <v>12</v>
      </c>
      <c r="E190" s="10" t="s">
        <v>58</v>
      </c>
      <c r="F190" s="10"/>
      <c r="G190" s="10"/>
      <c r="H190" s="9"/>
      <c r="I190" s="40" t="s">
        <v>30</v>
      </c>
      <c r="J190" s="9">
        <v>2012</v>
      </c>
      <c r="K190" s="34">
        <f>7.15*24*30</f>
        <v>5148.0000000000009</v>
      </c>
      <c r="L190" s="9">
        <v>5</v>
      </c>
      <c r="M190" s="9"/>
      <c r="N190" s="9"/>
      <c r="O190" s="9"/>
      <c r="P190" s="9"/>
      <c r="Q190" s="9"/>
      <c r="R190" s="10"/>
      <c r="S190" s="10"/>
      <c r="T190" s="55">
        <v>15</v>
      </c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36" x14ac:dyDescent="0.2">
      <c r="A191" s="9">
        <v>4</v>
      </c>
      <c r="B191" s="40" t="s">
        <v>29</v>
      </c>
      <c r="C191" s="9">
        <v>2012</v>
      </c>
      <c r="D191" s="10" t="s">
        <v>15</v>
      </c>
      <c r="E191" s="10" t="s">
        <v>59</v>
      </c>
      <c r="F191" s="10"/>
      <c r="G191" s="10"/>
      <c r="H191" s="9"/>
      <c r="I191" s="40" t="s">
        <v>30</v>
      </c>
      <c r="J191" s="9">
        <v>2012</v>
      </c>
      <c r="K191" s="34">
        <v>0</v>
      </c>
      <c r="L191" s="9"/>
      <c r="M191" s="9"/>
      <c r="N191" s="9"/>
      <c r="O191" s="9">
        <v>33</v>
      </c>
      <c r="P191" s="9"/>
      <c r="Q191" s="9"/>
      <c r="R191" s="10"/>
      <c r="S191" s="10"/>
      <c r="T191" s="55">
        <v>33</v>
      </c>
      <c r="U191" s="10">
        <v>33</v>
      </c>
      <c r="V191" s="10"/>
      <c r="W191" s="10"/>
      <c r="X191" s="10"/>
      <c r="Y191" s="10"/>
      <c r="Z191" s="10"/>
      <c r="AA191" s="10"/>
      <c r="AB191" s="10"/>
      <c r="AC191" s="10"/>
    </row>
    <row r="192" spans="1:36" x14ac:dyDescent="0.2">
      <c r="A192" s="11">
        <v>6</v>
      </c>
      <c r="B192" s="39" t="s">
        <v>30</v>
      </c>
      <c r="C192" s="11">
        <v>2012</v>
      </c>
      <c r="D192" s="12" t="s">
        <v>12</v>
      </c>
      <c r="E192" s="12" t="s">
        <v>58</v>
      </c>
      <c r="F192" s="12"/>
      <c r="G192" s="12"/>
      <c r="H192" s="11"/>
      <c r="I192" s="39" t="s">
        <v>31</v>
      </c>
      <c r="J192" s="11">
        <v>2012</v>
      </c>
      <c r="K192" s="35">
        <f>8.23*24*31</f>
        <v>6123.12</v>
      </c>
      <c r="L192" s="11">
        <v>5</v>
      </c>
      <c r="M192" s="11"/>
      <c r="N192" s="11"/>
      <c r="O192" s="11"/>
      <c r="P192" s="11"/>
      <c r="Q192" s="11"/>
      <c r="R192" s="12"/>
      <c r="S192" s="12"/>
      <c r="T192" s="54">
        <v>15</v>
      </c>
      <c r="U192" s="12"/>
      <c r="V192" s="12"/>
      <c r="W192" s="12"/>
      <c r="X192" s="12"/>
      <c r="Y192" s="12"/>
      <c r="Z192" s="12"/>
      <c r="AA192" s="12"/>
      <c r="AB192" s="12"/>
      <c r="AC192" s="12"/>
    </row>
    <row r="193" spans="1:29" x14ac:dyDescent="0.2">
      <c r="A193" s="11">
        <v>6</v>
      </c>
      <c r="B193" s="39" t="s">
        <v>30</v>
      </c>
      <c r="C193" s="11">
        <v>2012</v>
      </c>
      <c r="D193" s="12" t="s">
        <v>15</v>
      </c>
      <c r="E193" s="12" t="s">
        <v>59</v>
      </c>
      <c r="F193" s="12"/>
      <c r="G193" s="12"/>
      <c r="H193" s="11"/>
      <c r="I193" s="39" t="s">
        <v>31</v>
      </c>
      <c r="J193" s="11">
        <v>2012</v>
      </c>
      <c r="K193" s="35">
        <f>0.01*24*31</f>
        <v>7.4399999999999995</v>
      </c>
      <c r="L193" s="11"/>
      <c r="M193" s="11"/>
      <c r="N193" s="11"/>
      <c r="O193" s="11"/>
      <c r="P193" s="11"/>
      <c r="Q193" s="11"/>
      <c r="R193" s="12"/>
      <c r="S193" s="12"/>
      <c r="T193" s="54">
        <v>44</v>
      </c>
      <c r="U193" s="12"/>
      <c r="V193" s="12">
        <v>56</v>
      </c>
      <c r="W193" s="12"/>
      <c r="X193" s="12"/>
      <c r="Y193" s="12"/>
      <c r="Z193" s="12"/>
      <c r="AA193" s="12"/>
      <c r="AB193" s="12"/>
      <c r="AC193" s="12"/>
    </row>
    <row r="194" spans="1:29" x14ac:dyDescent="0.2">
      <c r="A194" s="9">
        <v>16</v>
      </c>
      <c r="B194" s="40" t="s">
        <v>30</v>
      </c>
      <c r="C194" s="9">
        <v>2012</v>
      </c>
      <c r="D194" s="10" t="s">
        <v>49</v>
      </c>
      <c r="E194" s="10" t="s">
        <v>58</v>
      </c>
      <c r="F194" s="10"/>
      <c r="G194" s="10"/>
      <c r="H194" s="9"/>
      <c r="I194" s="40" t="s">
        <v>20</v>
      </c>
      <c r="J194" s="9">
        <v>2013</v>
      </c>
      <c r="K194" s="34">
        <f>9.5*30*24</f>
        <v>6840</v>
      </c>
      <c r="L194" s="9"/>
      <c r="M194" s="9"/>
      <c r="N194" s="9">
        <v>5</v>
      </c>
      <c r="O194" s="9">
        <v>10</v>
      </c>
      <c r="P194" s="9"/>
      <c r="Q194" s="9"/>
      <c r="R194" s="10"/>
      <c r="S194" s="10"/>
      <c r="T194" s="55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x14ac:dyDescent="0.2">
      <c r="A195" s="9">
        <v>16</v>
      </c>
      <c r="B195" s="40" t="s">
        <v>30</v>
      </c>
      <c r="C195" s="9">
        <v>2012</v>
      </c>
      <c r="D195" s="10" t="s">
        <v>65</v>
      </c>
      <c r="E195" s="10" t="s">
        <v>59</v>
      </c>
      <c r="F195" s="10"/>
      <c r="G195" s="10"/>
      <c r="H195" s="9"/>
      <c r="I195" s="40" t="s">
        <v>20</v>
      </c>
      <c r="J195" s="9">
        <v>2013</v>
      </c>
      <c r="K195" s="34">
        <v>0</v>
      </c>
      <c r="L195" s="9"/>
      <c r="M195" s="9"/>
      <c r="N195" s="9"/>
      <c r="O195" s="9">
        <v>1</v>
      </c>
      <c r="P195" s="9"/>
      <c r="Q195" s="9"/>
      <c r="R195" s="10"/>
      <c r="S195" s="10"/>
      <c r="T195" s="55">
        <v>7</v>
      </c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x14ac:dyDescent="0.2">
      <c r="A196" s="11">
        <v>5</v>
      </c>
      <c r="B196" s="39" t="s">
        <v>31</v>
      </c>
      <c r="C196" s="11">
        <v>2012</v>
      </c>
      <c r="D196" s="12" t="s">
        <v>12</v>
      </c>
      <c r="E196" s="12" t="s">
        <v>58</v>
      </c>
      <c r="F196" s="12"/>
      <c r="G196" s="12"/>
      <c r="H196" s="11"/>
      <c r="I196" s="39" t="s">
        <v>20</v>
      </c>
      <c r="J196" s="11">
        <v>2013</v>
      </c>
      <c r="K196" s="35">
        <f>8.03*24*31</f>
        <v>5974.3199999999988</v>
      </c>
      <c r="L196" s="11"/>
      <c r="M196" s="11"/>
      <c r="N196" s="11"/>
      <c r="O196" s="11"/>
      <c r="P196" s="11"/>
      <c r="Q196" s="11"/>
      <c r="R196" s="12"/>
      <c r="S196" s="12"/>
      <c r="T196" s="54">
        <v>20</v>
      </c>
      <c r="U196" s="12"/>
      <c r="V196" s="12"/>
      <c r="W196" s="12"/>
      <c r="X196" s="12"/>
      <c r="Y196" s="12"/>
      <c r="Z196" s="12"/>
      <c r="AA196" s="12"/>
      <c r="AB196" s="12"/>
      <c r="AC196" s="12"/>
    </row>
    <row r="197" spans="1:29" x14ac:dyDescent="0.2">
      <c r="A197" s="11">
        <v>5</v>
      </c>
      <c r="B197" s="39" t="s">
        <v>31</v>
      </c>
      <c r="C197" s="11">
        <v>2012</v>
      </c>
      <c r="D197" s="12" t="s">
        <v>15</v>
      </c>
      <c r="E197" s="12" t="s">
        <v>59</v>
      </c>
      <c r="F197" s="12"/>
      <c r="G197" s="12"/>
      <c r="H197" s="11"/>
      <c r="I197" s="39" t="s">
        <v>20</v>
      </c>
      <c r="J197" s="11">
        <v>2013</v>
      </c>
      <c r="K197" s="35">
        <v>0</v>
      </c>
      <c r="L197" s="11"/>
      <c r="M197" s="11"/>
      <c r="N197" s="11"/>
      <c r="O197" s="11">
        <v>9</v>
      </c>
      <c r="P197" s="11"/>
      <c r="Q197" s="11"/>
      <c r="R197" s="12"/>
      <c r="S197" s="12"/>
      <c r="T197" s="54">
        <v>90</v>
      </c>
      <c r="U197" s="12"/>
      <c r="V197" s="12"/>
      <c r="W197" s="12"/>
      <c r="X197" s="12"/>
      <c r="Y197" s="12"/>
      <c r="Z197" s="12"/>
      <c r="AA197" s="12"/>
      <c r="AB197" s="12"/>
      <c r="AC197" s="12"/>
    </row>
    <row r="198" spans="1:29" x14ac:dyDescent="0.2">
      <c r="A198" s="9">
        <v>7</v>
      </c>
      <c r="B198" s="40" t="s">
        <v>20</v>
      </c>
      <c r="C198" s="9">
        <v>2013</v>
      </c>
      <c r="D198" s="10" t="s">
        <v>12</v>
      </c>
      <c r="E198" s="10" t="s">
        <v>58</v>
      </c>
      <c r="F198" s="10"/>
      <c r="G198" s="10"/>
      <c r="H198" s="9"/>
      <c r="I198" s="40" t="s">
        <v>21</v>
      </c>
      <c r="J198" s="9">
        <v>2013</v>
      </c>
      <c r="K198" s="34">
        <f>9.62*24*28</f>
        <v>6464.6399999999994</v>
      </c>
      <c r="L198" s="9"/>
      <c r="M198" s="9"/>
      <c r="N198" s="9">
        <v>5</v>
      </c>
      <c r="O198" s="9"/>
      <c r="P198" s="9"/>
      <c r="Q198" s="9"/>
      <c r="R198" s="10"/>
      <c r="S198" s="10"/>
      <c r="T198" s="55">
        <v>15</v>
      </c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x14ac:dyDescent="0.2">
      <c r="A199" s="9">
        <v>7</v>
      </c>
      <c r="B199" s="40" t="s">
        <v>20</v>
      </c>
      <c r="C199" s="9">
        <v>2013</v>
      </c>
      <c r="D199" s="10" t="s">
        <v>15</v>
      </c>
      <c r="E199" s="10" t="s">
        <v>59</v>
      </c>
      <c r="F199" s="10"/>
      <c r="G199" s="10"/>
      <c r="H199" s="9"/>
      <c r="I199" s="40" t="s">
        <v>21</v>
      </c>
      <c r="J199" s="9">
        <v>2013</v>
      </c>
      <c r="K199" s="34">
        <v>0</v>
      </c>
      <c r="L199" s="9"/>
      <c r="M199" s="9"/>
      <c r="N199" s="9"/>
      <c r="O199" s="9">
        <v>2</v>
      </c>
      <c r="P199" s="9"/>
      <c r="Q199" s="9"/>
      <c r="R199" s="10"/>
      <c r="S199" s="10"/>
      <c r="T199" s="55">
        <v>95</v>
      </c>
      <c r="U199" s="10"/>
      <c r="V199" s="10">
        <v>2</v>
      </c>
      <c r="W199" s="10"/>
      <c r="X199" s="10"/>
      <c r="Y199" s="10"/>
      <c r="Z199" s="10"/>
      <c r="AA199" s="10"/>
      <c r="AB199" s="10"/>
      <c r="AC199" s="10"/>
    </row>
    <row r="200" spans="1:29" x14ac:dyDescent="0.2">
      <c r="A200" s="11">
        <v>6</v>
      </c>
      <c r="B200" s="39" t="s">
        <v>21</v>
      </c>
      <c r="C200" s="11">
        <v>2013</v>
      </c>
      <c r="D200" s="12" t="s">
        <v>12</v>
      </c>
      <c r="E200" s="12" t="s">
        <v>58</v>
      </c>
      <c r="F200" s="12"/>
      <c r="G200" s="12"/>
      <c r="H200" s="11"/>
      <c r="I200" s="39" t="s">
        <v>22</v>
      </c>
      <c r="J200" s="11">
        <v>2013</v>
      </c>
      <c r="K200" s="35">
        <f>11.76*31*24</f>
        <v>8749.44</v>
      </c>
      <c r="L200" s="11"/>
      <c r="M200" s="11"/>
      <c r="N200" s="11">
        <v>11</v>
      </c>
      <c r="O200" s="11"/>
      <c r="P200" s="11"/>
      <c r="Q200" s="11"/>
      <c r="R200" s="12"/>
      <c r="S200" s="12"/>
      <c r="T200" s="54">
        <v>9</v>
      </c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 x14ac:dyDescent="0.2">
      <c r="A201" s="11">
        <v>6</v>
      </c>
      <c r="B201" s="39" t="s">
        <v>21</v>
      </c>
      <c r="C201" s="11">
        <v>2013</v>
      </c>
      <c r="D201" s="12" t="s">
        <v>15</v>
      </c>
      <c r="E201" s="12" t="s">
        <v>59</v>
      </c>
      <c r="F201" s="12"/>
      <c r="G201" s="12"/>
      <c r="H201" s="11"/>
      <c r="I201" s="39" t="s">
        <v>22</v>
      </c>
      <c r="J201" s="11">
        <v>2013</v>
      </c>
      <c r="K201" s="35">
        <f>0.02*24*31</f>
        <v>14.879999999999999</v>
      </c>
      <c r="L201" s="11"/>
      <c r="M201" s="11"/>
      <c r="N201" s="11"/>
      <c r="O201" s="11"/>
      <c r="P201" s="11"/>
      <c r="Q201" s="11"/>
      <c r="R201" s="12"/>
      <c r="S201" s="12"/>
      <c r="T201" s="54">
        <v>86</v>
      </c>
      <c r="U201" s="12"/>
      <c r="V201" s="12">
        <v>13</v>
      </c>
      <c r="W201" s="12"/>
      <c r="X201" s="12"/>
      <c r="Y201" s="12"/>
      <c r="Z201" s="12"/>
      <c r="AA201" s="12"/>
      <c r="AB201" s="12"/>
      <c r="AC201" s="12"/>
    </row>
    <row r="202" spans="1:29" x14ac:dyDescent="0.2">
      <c r="A202" s="9">
        <v>8</v>
      </c>
      <c r="B202" s="40" t="s">
        <v>21</v>
      </c>
      <c r="C202" s="9">
        <v>2013</v>
      </c>
      <c r="D202" s="10" t="s">
        <v>48</v>
      </c>
      <c r="E202" s="10" t="s">
        <v>58</v>
      </c>
      <c r="F202" s="10"/>
      <c r="G202" s="10"/>
      <c r="H202" s="9"/>
      <c r="I202" s="40" t="s">
        <v>23</v>
      </c>
      <c r="J202" s="9">
        <v>2013</v>
      </c>
      <c r="K202" s="34">
        <f>6.61*24*183/6</f>
        <v>4838.5200000000004</v>
      </c>
      <c r="L202" s="9"/>
      <c r="M202" s="9"/>
      <c r="N202" s="9">
        <v>10</v>
      </c>
      <c r="O202" s="9"/>
      <c r="P202" s="9"/>
      <c r="Q202" s="9"/>
      <c r="R202" s="10"/>
      <c r="S202" s="10"/>
      <c r="T202" s="55">
        <v>3</v>
      </c>
      <c r="U202" s="10"/>
      <c r="V202" s="10">
        <v>2</v>
      </c>
      <c r="W202" s="10"/>
      <c r="X202" s="10"/>
      <c r="Y202" s="10"/>
      <c r="Z202" s="10"/>
      <c r="AA202" s="10"/>
      <c r="AB202" s="10"/>
      <c r="AC202" s="10"/>
    </row>
    <row r="203" spans="1:29" x14ac:dyDescent="0.2">
      <c r="A203" s="9">
        <v>8</v>
      </c>
      <c r="B203" s="40" t="s">
        <v>21</v>
      </c>
      <c r="C203" s="9">
        <v>2013</v>
      </c>
      <c r="D203" s="10" t="s">
        <v>66</v>
      </c>
      <c r="E203" s="10" t="s">
        <v>59</v>
      </c>
      <c r="F203" s="10"/>
      <c r="G203" s="10"/>
      <c r="H203" s="9"/>
      <c r="I203" s="40" t="s">
        <v>23</v>
      </c>
      <c r="J203" s="9">
        <v>2013</v>
      </c>
      <c r="K203" s="34">
        <f>0.03*24*183/6</f>
        <v>21.959999999999997</v>
      </c>
      <c r="L203" s="9"/>
      <c r="M203" s="9"/>
      <c r="N203" s="9"/>
      <c r="O203" s="9"/>
      <c r="P203" s="9">
        <v>4</v>
      </c>
      <c r="Q203" s="9"/>
      <c r="R203" s="10"/>
      <c r="S203" s="10"/>
      <c r="T203" s="55">
        <v>10</v>
      </c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x14ac:dyDescent="0.2">
      <c r="A204" s="11">
        <v>14</v>
      </c>
      <c r="B204" s="39" t="s">
        <v>21</v>
      </c>
      <c r="C204" s="11">
        <v>2013</v>
      </c>
      <c r="D204" s="12" t="s">
        <v>49</v>
      </c>
      <c r="E204" s="12" t="s">
        <v>58</v>
      </c>
      <c r="F204" s="12"/>
      <c r="G204" s="12"/>
      <c r="H204" s="11"/>
      <c r="I204" s="39" t="s">
        <v>23</v>
      </c>
      <c r="J204" s="11">
        <v>2013</v>
      </c>
      <c r="K204" s="35">
        <f>7.26*24*91/3</f>
        <v>5285.28</v>
      </c>
      <c r="L204" s="11"/>
      <c r="M204" s="11"/>
      <c r="N204" s="11"/>
      <c r="O204" s="11"/>
      <c r="P204" s="11">
        <v>13</v>
      </c>
      <c r="Q204" s="11"/>
      <c r="R204" s="12"/>
      <c r="S204" s="12"/>
      <c r="T204" s="54"/>
      <c r="U204" s="12"/>
      <c r="V204" s="12">
        <v>2</v>
      </c>
      <c r="W204" s="12"/>
      <c r="X204" s="12"/>
      <c r="Y204" s="12"/>
      <c r="Z204" s="12"/>
      <c r="AA204" s="12"/>
      <c r="AB204" s="12"/>
      <c r="AC204" s="12"/>
    </row>
    <row r="205" spans="1:29" x14ac:dyDescent="0.2">
      <c r="A205" s="11">
        <v>14</v>
      </c>
      <c r="B205" s="39" t="s">
        <v>21</v>
      </c>
      <c r="C205" s="11">
        <v>2013</v>
      </c>
      <c r="D205" s="12" t="s">
        <v>65</v>
      </c>
      <c r="E205" s="12" t="s">
        <v>59</v>
      </c>
      <c r="F205" s="12"/>
      <c r="G205" s="12"/>
      <c r="H205" s="11"/>
      <c r="I205" s="39" t="s">
        <v>23</v>
      </c>
      <c r="J205" s="11">
        <v>2013</v>
      </c>
      <c r="K205" s="35">
        <f>0.03*24*91/3</f>
        <v>21.84</v>
      </c>
      <c r="L205" s="11"/>
      <c r="M205" s="11"/>
      <c r="N205" s="11"/>
      <c r="O205" s="11"/>
      <c r="P205" s="11">
        <v>5</v>
      </c>
      <c r="Q205" s="11"/>
      <c r="R205" s="12"/>
      <c r="S205" s="12"/>
      <c r="T205" s="54">
        <v>4</v>
      </c>
      <c r="U205" s="12"/>
      <c r="V205" s="12"/>
      <c r="W205" s="12"/>
      <c r="X205" s="12"/>
      <c r="Y205" s="12"/>
      <c r="Z205" s="12"/>
      <c r="AA205" s="12"/>
      <c r="AB205" s="12"/>
      <c r="AC205" s="12"/>
    </row>
    <row r="206" spans="1:29" x14ac:dyDescent="0.2">
      <c r="A206" s="9">
        <v>5</v>
      </c>
      <c r="B206" s="40" t="s">
        <v>22</v>
      </c>
      <c r="C206" s="9">
        <v>2013</v>
      </c>
      <c r="D206" s="10" t="s">
        <v>12</v>
      </c>
      <c r="E206" s="10" t="s">
        <v>58</v>
      </c>
      <c r="F206" s="10"/>
      <c r="G206" s="10"/>
      <c r="H206" s="9"/>
      <c r="I206" s="40" t="s">
        <v>23</v>
      </c>
      <c r="J206" s="9">
        <v>2013</v>
      </c>
      <c r="K206" s="34">
        <f>8.01*30*24</f>
        <v>5767.2</v>
      </c>
      <c r="L206" s="9"/>
      <c r="M206" s="9"/>
      <c r="N206" s="9"/>
      <c r="O206" s="9"/>
      <c r="P206" s="9"/>
      <c r="Q206" s="9"/>
      <c r="R206" s="10"/>
      <c r="S206" s="10"/>
      <c r="T206" s="55"/>
      <c r="U206" s="10">
        <v>20</v>
      </c>
      <c r="V206" s="10"/>
      <c r="W206" s="10"/>
      <c r="X206" s="10"/>
      <c r="Y206" s="10"/>
      <c r="Z206" s="10"/>
      <c r="AA206" s="10"/>
      <c r="AB206" s="10"/>
      <c r="AC206" s="10"/>
    </row>
    <row r="207" spans="1:29" x14ac:dyDescent="0.2">
      <c r="A207" s="9">
        <v>5</v>
      </c>
      <c r="B207" s="40" t="s">
        <v>22</v>
      </c>
      <c r="C207" s="9">
        <v>2013</v>
      </c>
      <c r="D207" s="10" t="s">
        <v>15</v>
      </c>
      <c r="E207" s="10" t="s">
        <v>59</v>
      </c>
      <c r="F207" s="10"/>
      <c r="G207" s="10"/>
      <c r="H207" s="9"/>
      <c r="I207" s="40" t="s">
        <v>23</v>
      </c>
      <c r="J207" s="9">
        <v>2013</v>
      </c>
      <c r="K207" s="34">
        <f>0.01*30*24</f>
        <v>7.1999999999999993</v>
      </c>
      <c r="L207" s="9"/>
      <c r="M207" s="9"/>
      <c r="N207" s="9"/>
      <c r="O207" s="9"/>
      <c r="P207" s="9"/>
      <c r="Q207" s="9"/>
      <c r="R207" s="10"/>
      <c r="S207" s="10"/>
      <c r="T207" s="55">
        <v>95</v>
      </c>
      <c r="U207" s="10"/>
      <c r="V207" s="10">
        <v>5</v>
      </c>
      <c r="W207" s="10"/>
      <c r="X207" s="10"/>
      <c r="Y207" s="10"/>
      <c r="Z207" s="10"/>
      <c r="AA207" s="10"/>
      <c r="AB207" s="10"/>
      <c r="AC207" s="10"/>
    </row>
    <row r="208" spans="1:29" x14ac:dyDescent="0.2">
      <c r="A208" s="11">
        <v>3</v>
      </c>
      <c r="B208" s="39" t="s">
        <v>23</v>
      </c>
      <c r="C208" s="11">
        <v>2013</v>
      </c>
      <c r="D208" s="12" t="s">
        <v>12</v>
      </c>
      <c r="E208" s="12" t="s">
        <v>58</v>
      </c>
      <c r="F208" s="12"/>
      <c r="G208" s="12"/>
      <c r="H208" s="11"/>
      <c r="I208" s="39" t="s">
        <v>24</v>
      </c>
      <c r="J208" s="11">
        <v>2013</v>
      </c>
      <c r="K208" s="35">
        <f>9.5*31*24</f>
        <v>7068</v>
      </c>
      <c r="L208" s="11"/>
      <c r="M208" s="11"/>
      <c r="N208" s="11"/>
      <c r="O208" s="11"/>
      <c r="P208" s="11">
        <v>20</v>
      </c>
      <c r="Q208" s="11"/>
      <c r="R208" s="12"/>
      <c r="S208" s="12"/>
      <c r="T208" s="54"/>
      <c r="U208" s="12"/>
      <c r="V208" s="12"/>
      <c r="W208" s="12"/>
      <c r="X208" s="12"/>
      <c r="Y208" s="12"/>
      <c r="Z208" s="12"/>
      <c r="AA208" s="12"/>
      <c r="AB208" s="12"/>
      <c r="AC208" s="12"/>
    </row>
    <row r="209" spans="1:29" x14ac:dyDescent="0.2">
      <c r="A209" s="11">
        <v>3</v>
      </c>
      <c r="B209" s="39" t="s">
        <v>23</v>
      </c>
      <c r="C209" s="11">
        <v>2013</v>
      </c>
      <c r="D209" s="12" t="s">
        <v>15</v>
      </c>
      <c r="E209" s="12" t="s">
        <v>59</v>
      </c>
      <c r="F209" s="12"/>
      <c r="G209" s="12"/>
      <c r="H209" s="11"/>
      <c r="I209" s="39" t="s">
        <v>24</v>
      </c>
      <c r="J209" s="11">
        <v>2013</v>
      </c>
      <c r="K209" s="35">
        <f>0.02*31*24</f>
        <v>14.879999999999999</v>
      </c>
      <c r="L209" s="11"/>
      <c r="M209" s="11"/>
      <c r="N209" s="11"/>
      <c r="O209" s="11"/>
      <c r="P209" s="11">
        <v>68</v>
      </c>
      <c r="Q209" s="11"/>
      <c r="R209" s="12"/>
      <c r="S209" s="12"/>
      <c r="T209" s="54">
        <v>32</v>
      </c>
      <c r="U209" s="12"/>
      <c r="V209" s="12"/>
      <c r="W209" s="12"/>
      <c r="X209" s="12"/>
      <c r="Y209" s="12"/>
      <c r="Z209" s="12"/>
      <c r="AA209" s="12"/>
      <c r="AB209" s="12"/>
      <c r="AC209" s="12"/>
    </row>
    <row r="210" spans="1:29" x14ac:dyDescent="0.2">
      <c r="A210" s="9">
        <v>7</v>
      </c>
      <c r="B210" s="40" t="s">
        <v>24</v>
      </c>
      <c r="C210" s="9">
        <v>2013</v>
      </c>
      <c r="D210" s="10" t="s">
        <v>12</v>
      </c>
      <c r="E210" s="10" t="s">
        <v>58</v>
      </c>
      <c r="F210" s="10"/>
      <c r="G210" s="10"/>
      <c r="H210" s="9"/>
      <c r="I210" s="40" t="s">
        <v>25</v>
      </c>
      <c r="J210" s="9">
        <v>2013</v>
      </c>
      <c r="K210" s="34">
        <f>7.8*31*24</f>
        <v>5803.2</v>
      </c>
      <c r="L210" s="9"/>
      <c r="M210" s="9"/>
      <c r="N210" s="9">
        <v>10</v>
      </c>
      <c r="O210" s="9"/>
      <c r="P210" s="9">
        <v>10</v>
      </c>
      <c r="Q210" s="9"/>
      <c r="R210" s="10"/>
      <c r="S210" s="10"/>
      <c r="T210" s="55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x14ac:dyDescent="0.2">
      <c r="A211" s="9">
        <v>7</v>
      </c>
      <c r="B211" s="40" t="s">
        <v>24</v>
      </c>
      <c r="C211" s="9">
        <v>2013</v>
      </c>
      <c r="D211" s="10" t="s">
        <v>15</v>
      </c>
      <c r="E211" s="10" t="s">
        <v>59</v>
      </c>
      <c r="F211" s="10"/>
      <c r="G211" s="10"/>
      <c r="H211" s="9"/>
      <c r="I211" s="40" t="s">
        <v>25</v>
      </c>
      <c r="J211" s="9">
        <v>2013</v>
      </c>
      <c r="K211" s="34">
        <v>0.01</v>
      </c>
      <c r="L211" s="9"/>
      <c r="M211" s="9"/>
      <c r="N211" s="9"/>
      <c r="O211" s="9"/>
      <c r="P211" s="9">
        <v>12</v>
      </c>
      <c r="Q211" s="9"/>
      <c r="R211" s="10"/>
      <c r="S211" s="10"/>
      <c r="T211" s="55">
        <v>87</v>
      </c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x14ac:dyDescent="0.2">
      <c r="A212" s="11">
        <v>17</v>
      </c>
      <c r="B212" s="39" t="s">
        <v>24</v>
      </c>
      <c r="C212" s="11">
        <v>2013</v>
      </c>
      <c r="D212" s="12" t="s">
        <v>49</v>
      </c>
      <c r="E212" s="12" t="s">
        <v>58</v>
      </c>
      <c r="F212" s="12"/>
      <c r="G212" s="12"/>
      <c r="H212" s="11"/>
      <c r="I212" s="39" t="s">
        <v>26</v>
      </c>
      <c r="J212" s="11">
        <v>2013</v>
      </c>
      <c r="K212" s="35">
        <f>7.92*92*24/3</f>
        <v>5829.12</v>
      </c>
      <c r="L212" s="11"/>
      <c r="M212" s="11"/>
      <c r="N212" s="11"/>
      <c r="O212" s="11"/>
      <c r="P212" s="11"/>
      <c r="Q212" s="11"/>
      <c r="R212" s="12"/>
      <c r="S212" s="12"/>
      <c r="T212" s="54"/>
      <c r="U212" s="12">
        <v>15</v>
      </c>
      <c r="V212" s="12"/>
      <c r="W212" s="12"/>
      <c r="X212" s="12"/>
      <c r="Y212" s="12"/>
      <c r="Z212" s="12"/>
      <c r="AA212" s="12"/>
      <c r="AB212" s="12"/>
      <c r="AC212" s="12"/>
    </row>
    <row r="213" spans="1:29" x14ac:dyDescent="0.2">
      <c r="A213" s="11">
        <v>17</v>
      </c>
      <c r="B213" s="39" t="s">
        <v>24</v>
      </c>
      <c r="C213" s="11">
        <v>2013</v>
      </c>
      <c r="D213" s="12" t="s">
        <v>65</v>
      </c>
      <c r="E213" s="12" t="s">
        <v>59</v>
      </c>
      <c r="F213" s="12"/>
      <c r="G213" s="12"/>
      <c r="H213" s="11"/>
      <c r="I213" s="39" t="s">
        <v>26</v>
      </c>
      <c r="J213" s="11">
        <v>2013</v>
      </c>
      <c r="K213" s="35">
        <f>0.01*92*24/3</f>
        <v>7.36</v>
      </c>
      <c r="L213" s="11"/>
      <c r="M213" s="11"/>
      <c r="N213" s="11"/>
      <c r="O213" s="11"/>
      <c r="P213" s="11"/>
      <c r="Q213" s="11"/>
      <c r="R213" s="12"/>
      <c r="S213" s="12"/>
      <c r="T213" s="54">
        <v>9</v>
      </c>
      <c r="U213" s="12"/>
      <c r="V213" s="12"/>
      <c r="W213" s="12"/>
      <c r="X213" s="12"/>
      <c r="Y213" s="12"/>
      <c r="Z213" s="12"/>
      <c r="AA213" s="12"/>
      <c r="AB213" s="12"/>
      <c r="AC213" s="12"/>
    </row>
    <row r="214" spans="1:29" x14ac:dyDescent="0.2">
      <c r="A214" s="9">
        <v>6</v>
      </c>
      <c r="B214" s="40" t="s">
        <v>25</v>
      </c>
      <c r="C214" s="9">
        <v>2013</v>
      </c>
      <c r="D214" s="10" t="s">
        <v>12</v>
      </c>
      <c r="E214" s="10" t="s">
        <v>58</v>
      </c>
      <c r="F214" s="10"/>
      <c r="G214" s="10"/>
      <c r="H214" s="9"/>
      <c r="I214" s="40" t="s">
        <v>26</v>
      </c>
      <c r="J214" s="9">
        <v>2013</v>
      </c>
      <c r="K214" s="34">
        <f>5.32*31*24</f>
        <v>3958.0800000000004</v>
      </c>
      <c r="L214" s="9"/>
      <c r="M214" s="9"/>
      <c r="N214" s="9">
        <v>10</v>
      </c>
      <c r="O214" s="9"/>
      <c r="P214" s="9"/>
      <c r="Q214" s="9"/>
      <c r="R214" s="10"/>
      <c r="S214" s="10"/>
      <c r="T214" s="55">
        <v>10</v>
      </c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x14ac:dyDescent="0.2">
      <c r="A215" s="9">
        <v>6</v>
      </c>
      <c r="B215" s="40" t="s">
        <v>25</v>
      </c>
      <c r="C215" s="9">
        <v>2013</v>
      </c>
      <c r="D215" s="10" t="s">
        <v>15</v>
      </c>
      <c r="E215" s="10" t="s">
        <v>59</v>
      </c>
      <c r="F215" s="10"/>
      <c r="G215" s="10"/>
      <c r="H215" s="9"/>
      <c r="I215" s="40" t="s">
        <v>26</v>
      </c>
      <c r="J215" s="9">
        <v>2013</v>
      </c>
      <c r="K215" s="34">
        <v>0</v>
      </c>
      <c r="L215" s="9"/>
      <c r="M215" s="9"/>
      <c r="N215" s="9"/>
      <c r="O215" s="9">
        <v>5</v>
      </c>
      <c r="P215" s="9"/>
      <c r="Q215" s="9"/>
      <c r="R215" s="10"/>
      <c r="S215" s="10"/>
      <c r="T215" s="55">
        <v>95</v>
      </c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x14ac:dyDescent="0.2">
      <c r="A216" s="11">
        <v>19</v>
      </c>
      <c r="B216" s="39" t="s">
        <v>25</v>
      </c>
      <c r="C216" s="11">
        <v>2013</v>
      </c>
      <c r="D216" s="12" t="s">
        <v>6</v>
      </c>
      <c r="E216" s="12" t="s">
        <v>58</v>
      </c>
      <c r="F216" s="12">
        <f t="shared" ref="F216:F219" si="19">SUMIF($AP$5:$AP$26,D216,$AU$5:$AU$26)</f>
        <v>12</v>
      </c>
      <c r="G216" s="12">
        <f t="shared" ref="G216:G219" si="20">SUMIF($AM$5:$AM$26,I216,$AL$5:$AL$26)</f>
        <v>10</v>
      </c>
      <c r="H216" s="11">
        <v>1</v>
      </c>
      <c r="I216" s="39" t="s">
        <v>29</v>
      </c>
      <c r="J216" s="11">
        <v>2013</v>
      </c>
      <c r="K216" s="35">
        <f>7.1*24*365/12</f>
        <v>5182.9999999999991</v>
      </c>
      <c r="L216" s="11">
        <v>5</v>
      </c>
      <c r="M216" s="11"/>
      <c r="N216" s="11">
        <v>20</v>
      </c>
      <c r="O216" s="11"/>
      <c r="P216" s="11">
        <v>15</v>
      </c>
      <c r="Q216" s="11"/>
      <c r="R216" s="12"/>
      <c r="S216" s="12"/>
      <c r="T216" s="54"/>
      <c r="U216" s="12"/>
      <c r="V216" s="12"/>
      <c r="W216" s="12"/>
      <c r="X216" s="12"/>
      <c r="Y216" s="12"/>
      <c r="Z216" s="12"/>
      <c r="AA216" s="12"/>
      <c r="AB216" s="12"/>
      <c r="AC216" s="12"/>
    </row>
    <row r="217" spans="1:29" x14ac:dyDescent="0.2">
      <c r="A217" s="11">
        <v>19</v>
      </c>
      <c r="B217" s="39" t="s">
        <v>25</v>
      </c>
      <c r="C217" s="11">
        <v>2013</v>
      </c>
      <c r="D217" s="12" t="s">
        <v>6</v>
      </c>
      <c r="E217" s="12" t="s">
        <v>58</v>
      </c>
      <c r="F217" s="12">
        <f t="shared" si="19"/>
        <v>12</v>
      </c>
      <c r="G217" s="12">
        <f t="shared" si="20"/>
        <v>10</v>
      </c>
      <c r="H217" s="11">
        <v>1</v>
      </c>
      <c r="I217" s="39" t="s">
        <v>29</v>
      </c>
      <c r="J217" s="11">
        <v>2014</v>
      </c>
      <c r="K217" s="35">
        <f>3.1*24*365/12</f>
        <v>2263.0000000000005</v>
      </c>
      <c r="L217" s="11">
        <v>2</v>
      </c>
      <c r="M217" s="11"/>
      <c r="N217" s="11">
        <v>4</v>
      </c>
      <c r="O217" s="11"/>
      <c r="P217" s="11">
        <v>4</v>
      </c>
      <c r="Q217" s="11"/>
      <c r="R217" s="12"/>
      <c r="S217" s="12"/>
      <c r="T217" s="54"/>
      <c r="U217" s="12"/>
      <c r="V217" s="12"/>
      <c r="W217" s="12"/>
      <c r="X217" s="12"/>
      <c r="Y217" s="12"/>
      <c r="Z217" s="12"/>
      <c r="AA217" s="12"/>
      <c r="AB217" s="12"/>
      <c r="AC217" s="12"/>
    </row>
    <row r="218" spans="1:29" x14ac:dyDescent="0.2">
      <c r="A218" s="11">
        <v>19</v>
      </c>
      <c r="B218" s="39" t="s">
        <v>25</v>
      </c>
      <c r="C218" s="11">
        <v>2013</v>
      </c>
      <c r="D218" s="12" t="s">
        <v>6</v>
      </c>
      <c r="E218" s="12" t="s">
        <v>58</v>
      </c>
      <c r="F218" s="12">
        <f t="shared" si="19"/>
        <v>12</v>
      </c>
      <c r="G218" s="12">
        <f t="shared" si="20"/>
        <v>10</v>
      </c>
      <c r="H218" s="11">
        <v>1</v>
      </c>
      <c r="I218" s="39" t="s">
        <v>29</v>
      </c>
      <c r="J218" s="11">
        <v>2015</v>
      </c>
      <c r="K218" s="35">
        <f>1.11*24*365/12</f>
        <v>810.30000000000007</v>
      </c>
      <c r="L218" s="11"/>
      <c r="M218" s="11"/>
      <c r="N218" s="11">
        <v>2</v>
      </c>
      <c r="O218" s="11"/>
      <c r="P218" s="11">
        <v>3</v>
      </c>
      <c r="Q218" s="11"/>
      <c r="R218" s="12"/>
      <c r="S218" s="12"/>
      <c r="T218" s="54">
        <v>5</v>
      </c>
      <c r="U218" s="12"/>
      <c r="V218" s="12"/>
      <c r="W218" s="12"/>
      <c r="X218" s="12"/>
      <c r="Y218" s="12"/>
      <c r="Z218" s="12"/>
      <c r="AA218" s="12"/>
      <c r="AB218" s="12"/>
      <c r="AC218" s="12"/>
    </row>
    <row r="219" spans="1:29" x14ac:dyDescent="0.2">
      <c r="A219" s="11">
        <v>19</v>
      </c>
      <c r="B219" s="39" t="s">
        <v>25</v>
      </c>
      <c r="C219" s="11">
        <v>2013</v>
      </c>
      <c r="D219" s="12" t="s">
        <v>14</v>
      </c>
      <c r="E219" s="12" t="s">
        <v>59</v>
      </c>
      <c r="F219" s="12">
        <f t="shared" si="19"/>
        <v>11</v>
      </c>
      <c r="G219" s="12">
        <f t="shared" si="20"/>
        <v>10</v>
      </c>
      <c r="H219" s="11">
        <v>1</v>
      </c>
      <c r="I219" s="39" t="s">
        <v>29</v>
      </c>
      <c r="J219" s="11">
        <v>2013</v>
      </c>
      <c r="K219" s="35">
        <f>0.06*24*365/12</f>
        <v>43.800000000000004</v>
      </c>
      <c r="L219" s="11">
        <v>10</v>
      </c>
      <c r="M219" s="11"/>
      <c r="N219" s="11"/>
      <c r="O219" s="11"/>
      <c r="P219" s="11"/>
      <c r="Q219" s="11"/>
      <c r="R219" s="12"/>
      <c r="S219" s="12"/>
      <c r="T219" s="54">
        <v>5</v>
      </c>
      <c r="U219" s="12"/>
      <c r="V219" s="12"/>
      <c r="W219" s="12"/>
      <c r="X219" s="12"/>
      <c r="Y219" s="12"/>
      <c r="Z219" s="12"/>
      <c r="AA219" s="12"/>
      <c r="AB219" s="12"/>
      <c r="AC219" s="12"/>
    </row>
    <row r="220" spans="1:29" x14ac:dyDescent="0.2">
      <c r="A220" s="9">
        <v>2</v>
      </c>
      <c r="B220" s="40" t="s">
        <v>26</v>
      </c>
      <c r="C220" s="9">
        <v>2013</v>
      </c>
      <c r="D220" s="10" t="s">
        <v>12</v>
      </c>
      <c r="E220" s="10" t="s">
        <v>58</v>
      </c>
      <c r="F220" s="10"/>
      <c r="G220" s="10"/>
      <c r="H220" s="9"/>
      <c r="I220" s="40" t="s">
        <v>27</v>
      </c>
      <c r="J220" s="9">
        <v>2013</v>
      </c>
      <c r="K220" s="34">
        <f>8.14*31*24</f>
        <v>6056.1600000000008</v>
      </c>
      <c r="L220" s="9"/>
      <c r="M220" s="9"/>
      <c r="N220" s="9">
        <v>5</v>
      </c>
      <c r="O220" s="9">
        <v>15</v>
      </c>
      <c r="P220" s="9"/>
      <c r="Q220" s="9"/>
      <c r="R220" s="10"/>
      <c r="S220" s="10"/>
      <c r="T220" s="55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x14ac:dyDescent="0.2">
      <c r="A221" s="9">
        <v>2</v>
      </c>
      <c r="B221" s="40" t="s">
        <v>26</v>
      </c>
      <c r="C221" s="9">
        <v>2013</v>
      </c>
      <c r="D221" s="10" t="s">
        <v>15</v>
      </c>
      <c r="E221" s="10" t="s">
        <v>59</v>
      </c>
      <c r="F221" s="10"/>
      <c r="G221" s="10"/>
      <c r="H221" s="9"/>
      <c r="I221" s="40" t="s">
        <v>27</v>
      </c>
      <c r="J221" s="9">
        <v>2013</v>
      </c>
      <c r="K221" s="34">
        <v>0</v>
      </c>
      <c r="L221" s="9"/>
      <c r="M221" s="9"/>
      <c r="N221" s="9"/>
      <c r="O221" s="9">
        <v>30</v>
      </c>
      <c r="P221" s="9"/>
      <c r="Q221" s="9"/>
      <c r="R221" s="10"/>
      <c r="S221" s="10"/>
      <c r="T221" s="55">
        <v>70</v>
      </c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x14ac:dyDescent="0.2">
      <c r="A222" s="11">
        <v>3</v>
      </c>
      <c r="B222" s="39" t="s">
        <v>26</v>
      </c>
      <c r="C222" s="11">
        <v>2013</v>
      </c>
      <c r="D222" s="12" t="s">
        <v>6</v>
      </c>
      <c r="E222" s="12" t="s">
        <v>58</v>
      </c>
      <c r="F222" s="12">
        <f t="shared" ref="F222:F225" si="21">SUMIF($AP$5:$AP$26,D222,$AU$5:$AU$26)</f>
        <v>12</v>
      </c>
      <c r="G222" s="12">
        <f t="shared" ref="G222:G225" si="22">SUMIF($AM$5:$AM$26,I222,$AL$5:$AL$26)</f>
        <v>10</v>
      </c>
      <c r="H222" s="11">
        <v>1</v>
      </c>
      <c r="I222" s="39" t="s">
        <v>29</v>
      </c>
      <c r="J222" s="11">
        <v>2013</v>
      </c>
      <c r="K222" s="35">
        <f>7.23*24*365/12</f>
        <v>5277.9000000000005</v>
      </c>
      <c r="L222" s="11"/>
      <c r="M222" s="11"/>
      <c r="N222" s="11">
        <v>15</v>
      </c>
      <c r="O222" s="11">
        <v>10</v>
      </c>
      <c r="P222" s="11"/>
      <c r="Q222" s="11"/>
      <c r="R222" s="12"/>
      <c r="S222" s="12"/>
      <c r="T222" s="54"/>
      <c r="U222" s="12">
        <v>15</v>
      </c>
      <c r="V222" s="12"/>
      <c r="W222" s="12"/>
      <c r="X222" s="12"/>
      <c r="Y222" s="12"/>
      <c r="Z222" s="12"/>
      <c r="AA222" s="12"/>
      <c r="AB222" s="12"/>
      <c r="AC222" s="12"/>
    </row>
    <row r="223" spans="1:29" x14ac:dyDescent="0.2">
      <c r="A223" s="11">
        <v>3</v>
      </c>
      <c r="B223" s="39" t="s">
        <v>26</v>
      </c>
      <c r="C223" s="11">
        <v>2013</v>
      </c>
      <c r="D223" s="12" t="s">
        <v>6</v>
      </c>
      <c r="E223" s="12" t="s">
        <v>58</v>
      </c>
      <c r="F223" s="12">
        <f t="shared" si="21"/>
        <v>12</v>
      </c>
      <c r="G223" s="12">
        <f t="shared" si="22"/>
        <v>10</v>
      </c>
      <c r="H223" s="11">
        <v>1</v>
      </c>
      <c r="I223" s="39" t="s">
        <v>29</v>
      </c>
      <c r="J223" s="11">
        <v>2014</v>
      </c>
      <c r="K223" s="35">
        <f>3.56*24*365/12</f>
        <v>2598.7999999999997</v>
      </c>
      <c r="L223" s="11"/>
      <c r="M223" s="11"/>
      <c r="N223" s="11">
        <v>2</v>
      </c>
      <c r="O223" s="11">
        <v>5</v>
      </c>
      <c r="P223" s="11">
        <v>3</v>
      </c>
      <c r="Q223" s="11"/>
      <c r="R223" s="12"/>
      <c r="S223" s="12"/>
      <c r="T223" s="54"/>
      <c r="U223" s="12"/>
      <c r="V223" s="12"/>
      <c r="W223" s="12"/>
      <c r="X223" s="12"/>
      <c r="Y223" s="12"/>
      <c r="Z223" s="12"/>
      <c r="AA223" s="12"/>
      <c r="AB223" s="12"/>
      <c r="AC223" s="12"/>
    </row>
    <row r="224" spans="1:29" x14ac:dyDescent="0.2">
      <c r="A224" s="11">
        <v>3</v>
      </c>
      <c r="B224" s="39" t="s">
        <v>26</v>
      </c>
      <c r="C224" s="11">
        <v>2013</v>
      </c>
      <c r="D224" s="12" t="s">
        <v>6</v>
      </c>
      <c r="E224" s="12" t="s">
        <v>58</v>
      </c>
      <c r="F224" s="12">
        <f t="shared" si="21"/>
        <v>12</v>
      </c>
      <c r="G224" s="12">
        <f t="shared" si="22"/>
        <v>10</v>
      </c>
      <c r="H224" s="11">
        <v>1</v>
      </c>
      <c r="I224" s="39" t="s">
        <v>29</v>
      </c>
      <c r="J224" s="11">
        <v>2015</v>
      </c>
      <c r="K224" s="35">
        <f>1.35*24*365/12</f>
        <v>985.50000000000011</v>
      </c>
      <c r="L224" s="11"/>
      <c r="M224" s="11"/>
      <c r="N224" s="11"/>
      <c r="O224" s="11"/>
      <c r="P224" s="11">
        <v>3</v>
      </c>
      <c r="Q224" s="11"/>
      <c r="R224" s="12"/>
      <c r="S224" s="12"/>
      <c r="T224" s="54">
        <v>5</v>
      </c>
      <c r="U224" s="12">
        <v>2</v>
      </c>
      <c r="V224" s="12"/>
      <c r="W224" s="12"/>
      <c r="X224" s="12"/>
      <c r="Y224" s="12"/>
      <c r="Z224" s="12"/>
      <c r="AA224" s="12"/>
      <c r="AB224" s="12"/>
      <c r="AC224" s="12"/>
    </row>
    <row r="225" spans="1:29" x14ac:dyDescent="0.2">
      <c r="A225" s="11">
        <v>3</v>
      </c>
      <c r="B225" s="39" t="s">
        <v>26</v>
      </c>
      <c r="C225" s="11">
        <v>2013</v>
      </c>
      <c r="D225" s="12" t="s">
        <v>14</v>
      </c>
      <c r="E225" s="12" t="s">
        <v>59</v>
      </c>
      <c r="F225" s="12">
        <f t="shared" si="21"/>
        <v>11</v>
      </c>
      <c r="G225" s="12">
        <f t="shared" si="22"/>
        <v>10</v>
      </c>
      <c r="H225" s="11">
        <v>1</v>
      </c>
      <c r="I225" s="39" t="s">
        <v>29</v>
      </c>
      <c r="J225" s="11">
        <v>2013</v>
      </c>
      <c r="K225" s="35">
        <f>0.07*24*365/12</f>
        <v>51.1</v>
      </c>
      <c r="L225" s="11"/>
      <c r="M225" s="11"/>
      <c r="N225" s="11"/>
      <c r="O225" s="11"/>
      <c r="P225" s="11"/>
      <c r="Q225" s="11"/>
      <c r="R225" s="12"/>
      <c r="S225" s="12"/>
      <c r="T225" s="54">
        <v>5</v>
      </c>
      <c r="U225" s="12">
        <v>10</v>
      </c>
      <c r="V225" s="12"/>
      <c r="W225" s="12"/>
      <c r="X225" s="12"/>
      <c r="Y225" s="12"/>
      <c r="Z225" s="12"/>
      <c r="AA225" s="12"/>
      <c r="AB225" s="12"/>
      <c r="AC225" s="12"/>
    </row>
    <row r="226" spans="1:29" x14ac:dyDescent="0.2">
      <c r="A226" s="9">
        <v>8</v>
      </c>
      <c r="B226" s="40" t="s">
        <v>27</v>
      </c>
      <c r="C226" s="9">
        <v>2013</v>
      </c>
      <c r="D226" s="10" t="s">
        <v>12</v>
      </c>
      <c r="E226" s="10" t="s">
        <v>58</v>
      </c>
      <c r="F226" s="10"/>
      <c r="G226" s="10"/>
      <c r="H226" s="9"/>
      <c r="I226" s="40" t="s">
        <v>28</v>
      </c>
      <c r="J226" s="9">
        <v>2013</v>
      </c>
      <c r="K226" s="34">
        <f>8.22*24*30</f>
        <v>5918.4000000000005</v>
      </c>
      <c r="L226" s="9"/>
      <c r="M226" s="9"/>
      <c r="N226" s="9">
        <v>10</v>
      </c>
      <c r="O226" s="9"/>
      <c r="P226" s="9">
        <v>5</v>
      </c>
      <c r="Q226" s="9"/>
      <c r="R226" s="10"/>
      <c r="S226" s="10"/>
      <c r="T226" s="55">
        <v>5</v>
      </c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x14ac:dyDescent="0.2">
      <c r="A227" s="9">
        <v>8</v>
      </c>
      <c r="B227" s="40" t="s">
        <v>27</v>
      </c>
      <c r="C227" s="9">
        <v>2013</v>
      </c>
      <c r="D227" s="10" t="s">
        <v>15</v>
      </c>
      <c r="E227" s="10" t="s">
        <v>59</v>
      </c>
      <c r="F227" s="10"/>
      <c r="G227" s="10"/>
      <c r="H227" s="9"/>
      <c r="I227" s="40" t="s">
        <v>28</v>
      </c>
      <c r="J227" s="9">
        <v>2013</v>
      </c>
      <c r="K227" s="34">
        <v>0</v>
      </c>
      <c r="L227" s="9"/>
      <c r="M227" s="9"/>
      <c r="N227" s="9"/>
      <c r="O227" s="9">
        <v>4</v>
      </c>
      <c r="P227" s="9">
        <v>52</v>
      </c>
      <c r="Q227" s="9"/>
      <c r="R227" s="10"/>
      <c r="S227" s="10"/>
      <c r="T227" s="55">
        <v>44</v>
      </c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x14ac:dyDescent="0.2">
      <c r="A228" s="11">
        <v>9</v>
      </c>
      <c r="B228" s="39" t="s">
        <v>27</v>
      </c>
      <c r="C228" s="11">
        <v>2013</v>
      </c>
      <c r="D228" s="12" t="s">
        <v>48</v>
      </c>
      <c r="E228" s="12" t="s">
        <v>58</v>
      </c>
      <c r="F228" s="12"/>
      <c r="G228" s="12"/>
      <c r="H228" s="11"/>
      <c r="I228" s="39" t="s">
        <v>29</v>
      </c>
      <c r="J228" s="11">
        <v>2013</v>
      </c>
      <c r="K228" s="35">
        <f>9.15*24*182/6</f>
        <v>6661.2000000000007</v>
      </c>
      <c r="L228" s="11"/>
      <c r="M228" s="11"/>
      <c r="N228" s="11">
        <v>7</v>
      </c>
      <c r="O228" s="11"/>
      <c r="P228" s="11">
        <v>13</v>
      </c>
      <c r="Q228" s="11"/>
      <c r="R228" s="12"/>
      <c r="S228" s="12"/>
      <c r="T228" s="54"/>
      <c r="U228" s="12"/>
      <c r="V228" s="12"/>
      <c r="W228" s="12"/>
      <c r="X228" s="12"/>
      <c r="Y228" s="12"/>
      <c r="Z228" s="12"/>
      <c r="AA228" s="12"/>
      <c r="AB228" s="12"/>
      <c r="AC228" s="12"/>
    </row>
    <row r="229" spans="1:29" x14ac:dyDescent="0.2">
      <c r="A229" s="11">
        <v>9</v>
      </c>
      <c r="B229" s="39" t="s">
        <v>27</v>
      </c>
      <c r="C229" s="11">
        <v>2013</v>
      </c>
      <c r="D229" s="12" t="s">
        <v>66</v>
      </c>
      <c r="E229" s="12" t="s">
        <v>59</v>
      </c>
      <c r="F229" s="12"/>
      <c r="G229" s="12"/>
      <c r="H229" s="11"/>
      <c r="I229" s="39" t="s">
        <v>29</v>
      </c>
      <c r="J229" s="11">
        <v>2013</v>
      </c>
      <c r="K229" s="35">
        <f>0.02*24*182/6</f>
        <v>14.56</v>
      </c>
      <c r="L229" s="11"/>
      <c r="M229" s="11"/>
      <c r="N229" s="11">
        <v>5</v>
      </c>
      <c r="O229" s="11"/>
      <c r="P229" s="11"/>
      <c r="Q229" s="11"/>
      <c r="R229" s="12"/>
      <c r="S229" s="12"/>
      <c r="T229" s="54">
        <v>5</v>
      </c>
      <c r="U229" s="12"/>
      <c r="V229" s="12"/>
      <c r="W229" s="12"/>
      <c r="X229" s="12"/>
      <c r="Y229" s="12"/>
      <c r="Z229" s="12"/>
      <c r="AA229" s="12"/>
      <c r="AB229" s="12"/>
      <c r="AC229" s="12"/>
    </row>
    <row r="230" spans="1:29" x14ac:dyDescent="0.2">
      <c r="A230" s="9">
        <v>16</v>
      </c>
      <c r="B230" s="40" t="s">
        <v>27</v>
      </c>
      <c r="C230" s="9">
        <v>2013</v>
      </c>
      <c r="D230" s="10" t="s">
        <v>49</v>
      </c>
      <c r="E230" s="10" t="s">
        <v>58</v>
      </c>
      <c r="F230" s="10"/>
      <c r="G230" s="10"/>
      <c r="H230" s="9"/>
      <c r="I230" s="40" t="s">
        <v>29</v>
      </c>
      <c r="J230" s="9">
        <v>2013</v>
      </c>
      <c r="K230" s="34">
        <f>9.21*92*24/3</f>
        <v>6778.56</v>
      </c>
      <c r="L230" s="9"/>
      <c r="M230" s="9"/>
      <c r="N230" s="9">
        <v>10</v>
      </c>
      <c r="O230" s="9"/>
      <c r="P230" s="9">
        <v>5</v>
      </c>
      <c r="Q230" s="9"/>
      <c r="R230" s="10"/>
      <c r="S230" s="10"/>
      <c r="T230" s="55">
        <v>5</v>
      </c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x14ac:dyDescent="0.2">
      <c r="A231" s="9">
        <v>16</v>
      </c>
      <c r="B231" s="40" t="s">
        <v>27</v>
      </c>
      <c r="C231" s="9">
        <v>2013</v>
      </c>
      <c r="D231" s="10" t="s">
        <v>65</v>
      </c>
      <c r="E231" s="10" t="s">
        <v>59</v>
      </c>
      <c r="F231" s="10"/>
      <c r="G231" s="10"/>
      <c r="H231" s="9"/>
      <c r="I231" s="40" t="s">
        <v>29</v>
      </c>
      <c r="J231" s="9">
        <v>2013</v>
      </c>
      <c r="K231" s="34">
        <f>0.01*92*24/3</f>
        <v>7.36</v>
      </c>
      <c r="L231" s="9"/>
      <c r="M231" s="9"/>
      <c r="N231" s="9">
        <v>5</v>
      </c>
      <c r="O231" s="9"/>
      <c r="P231" s="9"/>
      <c r="Q231" s="9"/>
      <c r="R231" s="10"/>
      <c r="S231" s="10"/>
      <c r="T231" s="55">
        <v>5</v>
      </c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x14ac:dyDescent="0.2">
      <c r="A232" s="11">
        <v>20</v>
      </c>
      <c r="B232" s="39" t="s">
        <v>27</v>
      </c>
      <c r="C232" s="11">
        <v>2013</v>
      </c>
      <c r="D232" s="12" t="s">
        <v>6</v>
      </c>
      <c r="E232" s="12" t="s">
        <v>58</v>
      </c>
      <c r="F232" s="12">
        <f t="shared" ref="F232:F235" si="23">SUMIF($AP$5:$AP$26,D232,$AU$5:$AU$26)</f>
        <v>12</v>
      </c>
      <c r="G232" s="12">
        <f t="shared" ref="G232:G235" si="24">SUMIF($AM$5:$AM$26,I232,$AL$5:$AL$26)</f>
        <v>10</v>
      </c>
      <c r="H232" s="11">
        <v>1</v>
      </c>
      <c r="I232" s="39" t="s">
        <v>29</v>
      </c>
      <c r="J232" s="11">
        <v>2013</v>
      </c>
      <c r="K232" s="35">
        <f>8.26*24*365/12</f>
        <v>6029.8</v>
      </c>
      <c r="L232" s="11">
        <v>5</v>
      </c>
      <c r="M232" s="11"/>
      <c r="N232" s="11">
        <v>5</v>
      </c>
      <c r="O232" s="11"/>
      <c r="P232" s="11"/>
      <c r="Q232" s="11"/>
      <c r="R232" s="12"/>
      <c r="S232" s="12"/>
      <c r="T232" s="54"/>
      <c r="U232" s="12">
        <v>25</v>
      </c>
      <c r="V232" s="12"/>
      <c r="W232" s="12">
        <v>5</v>
      </c>
      <c r="X232" s="12"/>
      <c r="Y232" s="12"/>
      <c r="Z232" s="12"/>
      <c r="AA232" s="12"/>
      <c r="AB232" s="12"/>
      <c r="AC232" s="12"/>
    </row>
    <row r="233" spans="1:29" x14ac:dyDescent="0.2">
      <c r="A233" s="11">
        <v>20</v>
      </c>
      <c r="B233" s="39" t="s">
        <v>27</v>
      </c>
      <c r="C233" s="11">
        <v>2013</v>
      </c>
      <c r="D233" s="12" t="s">
        <v>6</v>
      </c>
      <c r="E233" s="12" t="s">
        <v>58</v>
      </c>
      <c r="F233" s="12">
        <f t="shared" si="23"/>
        <v>12</v>
      </c>
      <c r="G233" s="12">
        <f t="shared" si="24"/>
        <v>10</v>
      </c>
      <c r="H233" s="11">
        <v>1</v>
      </c>
      <c r="I233" s="39" t="s">
        <v>29</v>
      </c>
      <c r="J233" s="11">
        <v>2014</v>
      </c>
      <c r="K233" s="35">
        <f>4.07*24*365/12</f>
        <v>2971.1000000000004</v>
      </c>
      <c r="L233" s="11">
        <v>5</v>
      </c>
      <c r="M233" s="11"/>
      <c r="N233" s="11"/>
      <c r="O233" s="11">
        <v>5</v>
      </c>
      <c r="P233" s="11"/>
      <c r="Q233" s="11"/>
      <c r="R233" s="12"/>
      <c r="S233" s="12"/>
      <c r="T233" s="54"/>
      <c r="U233" s="12"/>
      <c r="V233" s="12"/>
      <c r="W233" s="12"/>
      <c r="X233" s="12"/>
      <c r="Y233" s="12"/>
      <c r="Z233" s="12"/>
      <c r="AA233" s="12"/>
      <c r="AB233" s="12"/>
      <c r="AC233" s="12"/>
    </row>
    <row r="234" spans="1:29" x14ac:dyDescent="0.2">
      <c r="A234" s="11">
        <v>20</v>
      </c>
      <c r="B234" s="39" t="s">
        <v>27</v>
      </c>
      <c r="C234" s="11">
        <v>2013</v>
      </c>
      <c r="D234" s="12" t="s">
        <v>6</v>
      </c>
      <c r="E234" s="12" t="s">
        <v>58</v>
      </c>
      <c r="F234" s="12">
        <f t="shared" si="23"/>
        <v>12</v>
      </c>
      <c r="G234" s="12">
        <f t="shared" si="24"/>
        <v>10</v>
      </c>
      <c r="H234" s="11">
        <v>1</v>
      </c>
      <c r="I234" s="39" t="s">
        <v>29</v>
      </c>
      <c r="J234" s="11">
        <v>2015</v>
      </c>
      <c r="K234" s="35">
        <f>1.86*24*365/12</f>
        <v>1357.8</v>
      </c>
      <c r="L234" s="11"/>
      <c r="M234" s="11"/>
      <c r="N234" s="11"/>
      <c r="O234" s="11"/>
      <c r="P234" s="11"/>
      <c r="Q234" s="11"/>
      <c r="R234" s="12"/>
      <c r="S234" s="12"/>
      <c r="T234" s="54">
        <v>9</v>
      </c>
      <c r="U234" s="12">
        <v>1</v>
      </c>
      <c r="V234" s="12"/>
      <c r="W234" s="12"/>
      <c r="X234" s="12"/>
      <c r="Y234" s="12"/>
      <c r="Z234" s="12"/>
      <c r="AA234" s="12"/>
      <c r="AB234" s="12"/>
      <c r="AC234" s="12"/>
    </row>
    <row r="235" spans="1:29" x14ac:dyDescent="0.2">
      <c r="A235" s="11">
        <v>20</v>
      </c>
      <c r="B235" s="39" t="s">
        <v>27</v>
      </c>
      <c r="C235" s="11">
        <v>2013</v>
      </c>
      <c r="D235" s="12" t="s">
        <v>14</v>
      </c>
      <c r="E235" s="12" t="s">
        <v>59</v>
      </c>
      <c r="F235" s="12">
        <f t="shared" si="23"/>
        <v>11</v>
      </c>
      <c r="G235" s="12">
        <f t="shared" si="24"/>
        <v>10</v>
      </c>
      <c r="H235" s="11">
        <v>1</v>
      </c>
      <c r="I235" s="39" t="s">
        <v>29</v>
      </c>
      <c r="J235" s="11">
        <v>2013</v>
      </c>
      <c r="K235" s="35">
        <f>0.02*24*365/12</f>
        <v>14.6</v>
      </c>
      <c r="L235" s="11"/>
      <c r="M235" s="11"/>
      <c r="N235" s="11">
        <v>5</v>
      </c>
      <c r="O235" s="11"/>
      <c r="P235" s="11"/>
      <c r="Q235" s="11"/>
      <c r="R235" s="12"/>
      <c r="S235" s="12"/>
      <c r="T235" s="54">
        <v>5</v>
      </c>
      <c r="U235" s="12"/>
      <c r="V235" s="12"/>
      <c r="W235" s="12"/>
      <c r="X235" s="12"/>
      <c r="Y235" s="12"/>
      <c r="Z235" s="12"/>
      <c r="AA235" s="12"/>
      <c r="AB235" s="12"/>
      <c r="AC235" s="12"/>
    </row>
    <row r="236" spans="1:29" x14ac:dyDescent="0.2">
      <c r="A236" s="9">
        <v>2</v>
      </c>
      <c r="B236" s="40" t="s">
        <v>28</v>
      </c>
      <c r="C236" s="9">
        <v>2013</v>
      </c>
      <c r="D236" s="10" t="s">
        <v>12</v>
      </c>
      <c r="E236" s="10" t="s">
        <v>58</v>
      </c>
      <c r="F236" s="10"/>
      <c r="G236" s="10"/>
      <c r="H236" s="9"/>
      <c r="I236" s="40" t="s">
        <v>29</v>
      </c>
      <c r="J236" s="9">
        <v>2013</v>
      </c>
      <c r="K236" s="34">
        <f>9.94*24*31</f>
        <v>7395.36</v>
      </c>
      <c r="L236" s="9"/>
      <c r="M236" s="9"/>
      <c r="N236" s="9">
        <v>15</v>
      </c>
      <c r="O236" s="9"/>
      <c r="P236" s="9"/>
      <c r="Q236" s="9"/>
      <c r="R236" s="10"/>
      <c r="S236" s="10"/>
      <c r="T236" s="55">
        <v>10</v>
      </c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x14ac:dyDescent="0.2">
      <c r="A237" s="9">
        <v>2</v>
      </c>
      <c r="B237" s="40" t="s">
        <v>28</v>
      </c>
      <c r="C237" s="9">
        <v>2013</v>
      </c>
      <c r="D237" s="10" t="s">
        <v>15</v>
      </c>
      <c r="E237" s="10" t="s">
        <v>59</v>
      </c>
      <c r="F237" s="10"/>
      <c r="G237" s="10"/>
      <c r="H237" s="9"/>
      <c r="I237" s="40" t="s">
        <v>29</v>
      </c>
      <c r="J237" s="9">
        <v>2013</v>
      </c>
      <c r="K237" s="34">
        <v>0</v>
      </c>
      <c r="L237" s="9"/>
      <c r="M237" s="9"/>
      <c r="N237" s="9"/>
      <c r="O237" s="9">
        <v>5</v>
      </c>
      <c r="P237" s="9"/>
      <c r="Q237" s="9"/>
      <c r="R237" s="10"/>
      <c r="S237" s="10"/>
      <c r="T237" s="55">
        <v>85</v>
      </c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x14ac:dyDescent="0.2">
      <c r="A238" s="11">
        <v>3</v>
      </c>
      <c r="B238" s="39" t="s">
        <v>29</v>
      </c>
      <c r="C238" s="11">
        <v>2013</v>
      </c>
      <c r="D238" s="12" t="s">
        <v>12</v>
      </c>
      <c r="E238" s="12" t="s">
        <v>58</v>
      </c>
      <c r="F238" s="12"/>
      <c r="G238" s="12"/>
      <c r="H238" s="11"/>
      <c r="I238" s="39" t="s">
        <v>30</v>
      </c>
      <c r="J238" s="11">
        <v>2013</v>
      </c>
      <c r="K238" s="35">
        <f>10.18*24*30</f>
        <v>7329.5999999999995</v>
      </c>
      <c r="L238" s="11"/>
      <c r="M238" s="11"/>
      <c r="N238" s="11"/>
      <c r="O238" s="11"/>
      <c r="P238" s="11">
        <v>15</v>
      </c>
      <c r="Q238" s="11"/>
      <c r="R238" s="12"/>
      <c r="S238" s="12"/>
      <c r="T238" s="54">
        <v>5</v>
      </c>
      <c r="U238" s="12">
        <v>10</v>
      </c>
      <c r="V238" s="12"/>
      <c r="W238" s="12"/>
      <c r="X238" s="12"/>
      <c r="Y238" s="12"/>
      <c r="Z238" s="12"/>
      <c r="AA238" s="12"/>
      <c r="AB238" s="12"/>
      <c r="AC238" s="12"/>
    </row>
    <row r="239" spans="1:29" x14ac:dyDescent="0.2">
      <c r="A239" s="11">
        <v>3</v>
      </c>
      <c r="B239" s="39" t="s">
        <v>29</v>
      </c>
      <c r="C239" s="11">
        <v>2013</v>
      </c>
      <c r="D239" s="12" t="s">
        <v>15</v>
      </c>
      <c r="E239" s="12" t="s">
        <v>59</v>
      </c>
      <c r="F239" s="12"/>
      <c r="G239" s="12"/>
      <c r="H239" s="11"/>
      <c r="I239" s="39" t="s">
        <v>30</v>
      </c>
      <c r="J239" s="11">
        <v>2013</v>
      </c>
      <c r="K239" s="35">
        <f>0.01*24*30</f>
        <v>7.1999999999999993</v>
      </c>
      <c r="L239" s="11"/>
      <c r="M239" s="11"/>
      <c r="N239" s="11">
        <v>2</v>
      </c>
      <c r="O239" s="11"/>
      <c r="P239" s="11">
        <v>55</v>
      </c>
      <c r="Q239" s="11"/>
      <c r="R239" s="12"/>
      <c r="S239" s="12"/>
      <c r="T239" s="54">
        <v>11</v>
      </c>
      <c r="U239" s="12">
        <v>20</v>
      </c>
      <c r="V239" s="12"/>
      <c r="W239" s="12"/>
      <c r="X239" s="12"/>
      <c r="Y239" s="12"/>
      <c r="Z239" s="12"/>
      <c r="AA239" s="12"/>
      <c r="AB239" s="12"/>
      <c r="AC239" s="12"/>
    </row>
    <row r="240" spans="1:29" x14ac:dyDescent="0.2">
      <c r="A240" s="9">
        <v>5</v>
      </c>
      <c r="B240" s="40" t="s">
        <v>30</v>
      </c>
      <c r="C240" s="9">
        <v>2013</v>
      </c>
      <c r="D240" s="10" t="s">
        <v>12</v>
      </c>
      <c r="E240" s="10" t="s">
        <v>58</v>
      </c>
      <c r="F240" s="10"/>
      <c r="G240" s="10"/>
      <c r="H240" s="9"/>
      <c r="I240" s="40" t="s">
        <v>31</v>
      </c>
      <c r="J240" s="9">
        <v>2013</v>
      </c>
      <c r="K240" s="34">
        <f>10.28*24*31</f>
        <v>7648.3199999999988</v>
      </c>
      <c r="L240" s="9"/>
      <c r="M240" s="9"/>
      <c r="N240" s="9">
        <v>25</v>
      </c>
      <c r="O240" s="9"/>
      <c r="P240" s="9"/>
      <c r="Q240" s="9"/>
      <c r="R240" s="10"/>
      <c r="S240" s="10"/>
      <c r="T240" s="55"/>
      <c r="U240" s="10">
        <v>5</v>
      </c>
      <c r="V240" s="10"/>
      <c r="W240" s="10"/>
      <c r="X240" s="10"/>
      <c r="Y240" s="10"/>
      <c r="Z240" s="10"/>
      <c r="AA240" s="10"/>
      <c r="AB240" s="10"/>
      <c r="AC240" s="10"/>
    </row>
    <row r="241" spans="1:29" x14ac:dyDescent="0.2">
      <c r="A241" s="9">
        <v>5</v>
      </c>
      <c r="B241" s="40" t="s">
        <v>30</v>
      </c>
      <c r="C241" s="9">
        <v>2013</v>
      </c>
      <c r="D241" s="10" t="s">
        <v>15</v>
      </c>
      <c r="E241" s="10" t="s">
        <v>59</v>
      </c>
      <c r="F241" s="10"/>
      <c r="G241" s="10"/>
      <c r="H241" s="9"/>
      <c r="I241" s="40" t="s">
        <v>31</v>
      </c>
      <c r="J241" s="9">
        <v>2013</v>
      </c>
      <c r="K241" s="34">
        <f>0.01*24*31</f>
        <v>7.4399999999999995</v>
      </c>
      <c r="L241" s="9"/>
      <c r="M241" s="9"/>
      <c r="N241" s="9">
        <v>16</v>
      </c>
      <c r="O241" s="9"/>
      <c r="P241" s="9">
        <v>37</v>
      </c>
      <c r="Q241" s="9"/>
      <c r="R241" s="10"/>
      <c r="S241" s="10"/>
      <c r="T241" s="55">
        <v>36</v>
      </c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x14ac:dyDescent="0.2">
      <c r="A242" s="11">
        <v>15</v>
      </c>
      <c r="B242" s="39" t="s">
        <v>30</v>
      </c>
      <c r="C242" s="11">
        <v>2013</v>
      </c>
      <c r="D242" s="12" t="s">
        <v>49</v>
      </c>
      <c r="E242" s="12" t="s">
        <v>58</v>
      </c>
      <c r="F242" s="12"/>
      <c r="G242" s="12"/>
      <c r="H242" s="11"/>
      <c r="I242" s="39" t="s">
        <v>20</v>
      </c>
      <c r="J242" s="11">
        <v>2014</v>
      </c>
      <c r="K242" s="35">
        <f>11.01*90*24/3</f>
        <v>7927.2</v>
      </c>
      <c r="L242" s="11"/>
      <c r="M242" s="11"/>
      <c r="N242" s="11">
        <v>10</v>
      </c>
      <c r="O242" s="11"/>
      <c r="P242" s="11"/>
      <c r="Q242" s="11"/>
      <c r="R242" s="12"/>
      <c r="S242" s="12"/>
      <c r="T242" s="54">
        <v>5</v>
      </c>
      <c r="U242" s="12">
        <v>10</v>
      </c>
      <c r="V242" s="12"/>
      <c r="W242" s="12"/>
      <c r="X242" s="12"/>
      <c r="Y242" s="12"/>
      <c r="Z242" s="12"/>
      <c r="AA242" s="12"/>
      <c r="AB242" s="12"/>
      <c r="AC242" s="12"/>
    </row>
    <row r="243" spans="1:29" x14ac:dyDescent="0.2">
      <c r="A243" s="11">
        <v>15</v>
      </c>
      <c r="B243" s="39" t="s">
        <v>30</v>
      </c>
      <c r="C243" s="11">
        <v>2013</v>
      </c>
      <c r="D243" s="12" t="s">
        <v>65</v>
      </c>
      <c r="E243" s="12" t="s">
        <v>59</v>
      </c>
      <c r="F243" s="12"/>
      <c r="G243" s="12"/>
      <c r="H243" s="11"/>
      <c r="I243" s="39" t="s">
        <v>20</v>
      </c>
      <c r="J243" s="11">
        <v>2014</v>
      </c>
      <c r="K243" s="35">
        <v>0</v>
      </c>
      <c r="L243" s="11"/>
      <c r="M243" s="11"/>
      <c r="N243" s="11">
        <v>5</v>
      </c>
      <c r="O243" s="11">
        <v>1</v>
      </c>
      <c r="P243" s="11">
        <v>1</v>
      </c>
      <c r="Q243" s="11"/>
      <c r="R243" s="12"/>
      <c r="S243" s="12"/>
      <c r="T243" s="54">
        <v>1</v>
      </c>
      <c r="U243" s="12"/>
      <c r="V243" s="12">
        <v>1</v>
      </c>
      <c r="W243" s="12"/>
      <c r="X243" s="12"/>
      <c r="Y243" s="12"/>
      <c r="Z243" s="12"/>
      <c r="AA243" s="12"/>
      <c r="AB243" s="12"/>
      <c r="AC243" s="12"/>
    </row>
    <row r="244" spans="1:29" x14ac:dyDescent="0.2">
      <c r="A244" s="9">
        <v>5</v>
      </c>
      <c r="B244" s="40" t="s">
        <v>31</v>
      </c>
      <c r="C244" s="9">
        <v>2013</v>
      </c>
      <c r="D244" s="10" t="s">
        <v>12</v>
      </c>
      <c r="E244" s="10" t="s">
        <v>58</v>
      </c>
      <c r="F244" s="10"/>
      <c r="G244" s="10"/>
      <c r="H244" s="9"/>
      <c r="I244" s="40" t="s">
        <v>20</v>
      </c>
      <c r="J244" s="9">
        <v>2014</v>
      </c>
      <c r="K244" s="34">
        <f>11.03*24*31</f>
        <v>8206.32</v>
      </c>
      <c r="L244" s="9"/>
      <c r="M244" s="9"/>
      <c r="N244" s="9">
        <v>15</v>
      </c>
      <c r="O244" s="9"/>
      <c r="P244" s="9"/>
      <c r="Q244" s="9"/>
      <c r="R244" s="10"/>
      <c r="S244" s="10"/>
      <c r="T244" s="55">
        <v>2</v>
      </c>
      <c r="U244" s="10">
        <v>8</v>
      </c>
      <c r="V244" s="10"/>
      <c r="W244" s="10"/>
      <c r="X244" s="10"/>
      <c r="Y244" s="10"/>
      <c r="Z244" s="10"/>
      <c r="AA244" s="10"/>
      <c r="AB244" s="10"/>
      <c r="AC244" s="10"/>
    </row>
    <row r="245" spans="1:29" x14ac:dyDescent="0.2">
      <c r="A245" s="9">
        <v>5</v>
      </c>
      <c r="B245" s="40" t="s">
        <v>31</v>
      </c>
      <c r="C245" s="9">
        <v>2013</v>
      </c>
      <c r="D245" s="10" t="s">
        <v>15</v>
      </c>
      <c r="E245" s="10" t="s">
        <v>59</v>
      </c>
      <c r="F245" s="10"/>
      <c r="G245" s="10"/>
      <c r="H245" s="9"/>
      <c r="I245" s="40" t="s">
        <v>20</v>
      </c>
      <c r="J245" s="9">
        <v>2014</v>
      </c>
      <c r="K245" s="34">
        <f>0.01*24*31</f>
        <v>7.4399999999999995</v>
      </c>
      <c r="L245" s="9"/>
      <c r="M245" s="9"/>
      <c r="N245" s="9">
        <v>13</v>
      </c>
      <c r="O245" s="9"/>
      <c r="P245" s="9">
        <v>76</v>
      </c>
      <c r="Q245" s="9"/>
      <c r="R245" s="10"/>
      <c r="S245" s="10"/>
      <c r="T245" s="55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x14ac:dyDescent="0.2">
      <c r="A246" s="11">
        <v>9</v>
      </c>
      <c r="B246" s="39" t="s">
        <v>20</v>
      </c>
      <c r="C246" s="11">
        <v>2014</v>
      </c>
      <c r="D246" s="12" t="s">
        <v>12</v>
      </c>
      <c r="E246" s="12" t="s">
        <v>58</v>
      </c>
      <c r="F246" s="12"/>
      <c r="G246" s="12"/>
      <c r="H246" s="11"/>
      <c r="I246" s="39" t="s">
        <v>21</v>
      </c>
      <c r="J246" s="11">
        <v>2014</v>
      </c>
      <c r="K246" s="35">
        <f>11.91*24*28</f>
        <v>8003.52</v>
      </c>
      <c r="L246" s="11"/>
      <c r="M246" s="11"/>
      <c r="N246" s="11">
        <v>15</v>
      </c>
      <c r="O246" s="11"/>
      <c r="P246" s="11"/>
      <c r="Q246" s="11"/>
      <c r="R246" s="12"/>
      <c r="S246" s="12"/>
      <c r="T246" s="54">
        <v>10</v>
      </c>
      <c r="U246" s="12"/>
      <c r="V246" s="12"/>
      <c r="W246" s="12"/>
      <c r="X246" s="12"/>
      <c r="Y246" s="12"/>
      <c r="Z246" s="12"/>
      <c r="AA246" s="12"/>
      <c r="AB246" s="12"/>
      <c r="AC246" s="12"/>
    </row>
    <row r="247" spans="1:29" x14ac:dyDescent="0.2">
      <c r="A247" s="11">
        <v>9</v>
      </c>
      <c r="B247" s="39" t="s">
        <v>20</v>
      </c>
      <c r="C247" s="11">
        <v>2014</v>
      </c>
      <c r="D247" s="12" t="s">
        <v>15</v>
      </c>
      <c r="E247" s="12" t="s">
        <v>59</v>
      </c>
      <c r="F247" s="12"/>
      <c r="G247" s="12"/>
      <c r="H247" s="11"/>
      <c r="I247" s="39" t="s">
        <v>21</v>
      </c>
      <c r="J247" s="11">
        <v>2014</v>
      </c>
      <c r="K247" s="35">
        <f>0.01*24*28</f>
        <v>6.72</v>
      </c>
      <c r="L247" s="11"/>
      <c r="M247" s="11"/>
      <c r="N247" s="11">
        <v>6</v>
      </c>
      <c r="O247" s="11"/>
      <c r="P247" s="11">
        <v>69</v>
      </c>
      <c r="Q247" s="11"/>
      <c r="R247" s="12"/>
      <c r="S247" s="12"/>
      <c r="T247" s="54"/>
      <c r="U247" s="12"/>
      <c r="V247" s="12">
        <v>13</v>
      </c>
      <c r="W247" s="12"/>
      <c r="X247" s="12"/>
      <c r="Y247" s="12"/>
      <c r="Z247" s="12"/>
      <c r="AA247" s="12"/>
      <c r="AB247" s="12"/>
      <c r="AC247" s="12"/>
    </row>
    <row r="248" spans="1:29" x14ac:dyDescent="0.2">
      <c r="A248" s="9">
        <v>5</v>
      </c>
      <c r="B248" s="40" t="s">
        <v>21</v>
      </c>
      <c r="C248" s="9">
        <v>2014</v>
      </c>
      <c r="D248" s="10" t="s">
        <v>12</v>
      </c>
      <c r="E248" s="10" t="s">
        <v>58</v>
      </c>
      <c r="F248" s="10"/>
      <c r="G248" s="10"/>
      <c r="H248" s="9"/>
      <c r="I248" s="40" t="s">
        <v>22</v>
      </c>
      <c r="J248" s="9">
        <v>2014</v>
      </c>
      <c r="K248" s="34">
        <f>12.32*24*31</f>
        <v>9166.08</v>
      </c>
      <c r="L248" s="9"/>
      <c r="M248" s="9"/>
      <c r="N248" s="9"/>
      <c r="O248" s="9"/>
      <c r="P248" s="9"/>
      <c r="Q248" s="9"/>
      <c r="R248" s="10"/>
      <c r="S248" s="10"/>
      <c r="T248" s="55">
        <v>15</v>
      </c>
      <c r="U248" s="10">
        <v>10</v>
      </c>
      <c r="V248" s="10"/>
      <c r="W248" s="10"/>
      <c r="X248" s="10"/>
      <c r="Y248" s="10"/>
      <c r="Z248" s="10"/>
      <c r="AA248" s="10"/>
      <c r="AB248" s="10"/>
      <c r="AC248" s="10"/>
    </row>
    <row r="249" spans="1:29" x14ac:dyDescent="0.2">
      <c r="A249" s="9">
        <v>5</v>
      </c>
      <c r="B249" s="40" t="s">
        <v>21</v>
      </c>
      <c r="C249" s="9">
        <v>2014</v>
      </c>
      <c r="D249" s="10" t="s">
        <v>15</v>
      </c>
      <c r="E249" s="10" t="s">
        <v>59</v>
      </c>
      <c r="F249" s="10"/>
      <c r="G249" s="10"/>
      <c r="H249" s="9"/>
      <c r="I249" s="40" t="s">
        <v>22</v>
      </c>
      <c r="J249" s="9">
        <v>2014</v>
      </c>
      <c r="K249" s="34">
        <f>0.01*24*31</f>
        <v>7.4399999999999995</v>
      </c>
      <c r="L249" s="9"/>
      <c r="M249" s="9"/>
      <c r="N249" s="9">
        <v>4</v>
      </c>
      <c r="O249" s="9"/>
      <c r="P249" s="9">
        <v>73</v>
      </c>
      <c r="Q249" s="9"/>
      <c r="R249" s="10"/>
      <c r="S249" s="10"/>
      <c r="T249" s="55">
        <v>11</v>
      </c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x14ac:dyDescent="0.2">
      <c r="A250" s="11">
        <v>14</v>
      </c>
      <c r="B250" s="39" t="s">
        <v>21</v>
      </c>
      <c r="C250" s="11">
        <v>2014</v>
      </c>
      <c r="D250" s="12" t="s">
        <v>48</v>
      </c>
      <c r="E250" s="12" t="s">
        <v>58</v>
      </c>
      <c r="F250" s="12"/>
      <c r="G250" s="12"/>
      <c r="H250" s="11"/>
      <c r="I250" s="39" t="s">
        <v>23</v>
      </c>
      <c r="J250" s="11">
        <v>2014</v>
      </c>
      <c r="K250" s="35">
        <f>8.12*24*183/6</f>
        <v>5943.84</v>
      </c>
      <c r="L250" s="11"/>
      <c r="M250" s="11"/>
      <c r="N250" s="11">
        <v>4</v>
      </c>
      <c r="O250" s="11"/>
      <c r="P250" s="11">
        <v>16</v>
      </c>
      <c r="Q250" s="11"/>
      <c r="R250" s="12"/>
      <c r="S250" s="12"/>
      <c r="T250" s="54"/>
      <c r="U250" s="12"/>
      <c r="V250" s="12"/>
      <c r="W250" s="12"/>
      <c r="X250" s="12"/>
      <c r="Y250" s="12"/>
      <c r="Z250" s="12"/>
      <c r="AA250" s="12"/>
      <c r="AB250" s="12"/>
      <c r="AC250" s="12"/>
    </row>
    <row r="251" spans="1:29" x14ac:dyDescent="0.2">
      <c r="A251" s="11">
        <v>14</v>
      </c>
      <c r="B251" s="39" t="s">
        <v>21</v>
      </c>
      <c r="C251" s="11">
        <v>2014</v>
      </c>
      <c r="D251" s="12" t="s">
        <v>66</v>
      </c>
      <c r="E251" s="12" t="s">
        <v>59</v>
      </c>
      <c r="F251" s="12"/>
      <c r="G251" s="12"/>
      <c r="H251" s="11"/>
      <c r="I251" s="39" t="s">
        <v>23</v>
      </c>
      <c r="J251" s="11">
        <v>2014</v>
      </c>
      <c r="K251" s="35">
        <f>0.05*24*183/6</f>
        <v>36.6</v>
      </c>
      <c r="L251" s="11"/>
      <c r="M251" s="11"/>
      <c r="N251" s="11"/>
      <c r="O251" s="11">
        <v>4</v>
      </c>
      <c r="P251" s="11"/>
      <c r="Q251" s="11"/>
      <c r="R251" s="12"/>
      <c r="S251" s="12"/>
      <c r="T251" s="54">
        <v>5</v>
      </c>
      <c r="U251" s="12"/>
      <c r="V251" s="12"/>
      <c r="W251" s="12"/>
      <c r="X251" s="12"/>
      <c r="Y251" s="12"/>
      <c r="Z251" s="12"/>
      <c r="AA251" s="12"/>
      <c r="AB251" s="12"/>
      <c r="AC251" s="12"/>
    </row>
    <row r="252" spans="1:29" x14ac:dyDescent="0.2">
      <c r="A252" s="9">
        <v>21</v>
      </c>
      <c r="B252" s="40" t="s">
        <v>21</v>
      </c>
      <c r="C252" s="9">
        <v>2014</v>
      </c>
      <c r="D252" s="10" t="s">
        <v>49</v>
      </c>
      <c r="E252" s="10" t="s">
        <v>58</v>
      </c>
      <c r="F252" s="10"/>
      <c r="G252" s="10"/>
      <c r="H252" s="9"/>
      <c r="I252" s="40" t="s">
        <v>23</v>
      </c>
      <c r="J252" s="9">
        <v>2014</v>
      </c>
      <c r="K252" s="34">
        <f>8.06*91*24/3</f>
        <v>5867.68</v>
      </c>
      <c r="L252" s="9"/>
      <c r="M252" s="9"/>
      <c r="N252" s="9"/>
      <c r="O252" s="9"/>
      <c r="P252" s="9">
        <v>10</v>
      </c>
      <c r="Q252" s="9"/>
      <c r="R252" s="10"/>
      <c r="S252" s="10"/>
      <c r="T252" s="55">
        <v>10</v>
      </c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x14ac:dyDescent="0.2">
      <c r="A253" s="9">
        <v>21</v>
      </c>
      <c r="B253" s="40" t="s">
        <v>21</v>
      </c>
      <c r="C253" s="9">
        <v>2014</v>
      </c>
      <c r="D253" s="10" t="s">
        <v>65</v>
      </c>
      <c r="E253" s="10" t="s">
        <v>59</v>
      </c>
      <c r="F253" s="10"/>
      <c r="G253" s="10"/>
      <c r="H253" s="9"/>
      <c r="I253" s="40" t="s">
        <v>23</v>
      </c>
      <c r="J253" s="9">
        <v>2014</v>
      </c>
      <c r="K253" s="34">
        <f>0.02*91*24/3</f>
        <v>14.56</v>
      </c>
      <c r="L253" s="9"/>
      <c r="M253" s="9"/>
      <c r="N253" s="9"/>
      <c r="O253" s="9"/>
      <c r="P253" s="9">
        <v>9</v>
      </c>
      <c r="Q253" s="9"/>
      <c r="R253" s="10"/>
      <c r="S253" s="10"/>
      <c r="T253" s="55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x14ac:dyDescent="0.2">
      <c r="A254" s="11">
        <v>10</v>
      </c>
      <c r="B254" s="39" t="s">
        <v>22</v>
      </c>
      <c r="C254" s="11">
        <v>2014</v>
      </c>
      <c r="D254" s="12" t="s">
        <v>12</v>
      </c>
      <c r="E254" s="12" t="s">
        <v>58</v>
      </c>
      <c r="F254" s="12"/>
      <c r="G254" s="12"/>
      <c r="H254" s="11"/>
      <c r="I254" s="39" t="s">
        <v>23</v>
      </c>
      <c r="J254" s="11">
        <v>2014</v>
      </c>
      <c r="K254" s="35">
        <f>8.36*24*30</f>
        <v>6019.2</v>
      </c>
      <c r="L254" s="11"/>
      <c r="M254" s="11"/>
      <c r="N254" s="11">
        <v>25</v>
      </c>
      <c r="O254" s="11"/>
      <c r="P254" s="11">
        <v>5</v>
      </c>
      <c r="Q254" s="11"/>
      <c r="R254" s="12"/>
      <c r="S254" s="12"/>
      <c r="T254" s="54"/>
      <c r="U254" s="12"/>
      <c r="V254" s="12"/>
      <c r="W254" s="12"/>
      <c r="X254" s="12"/>
      <c r="Y254" s="12"/>
      <c r="Z254" s="12"/>
      <c r="AA254" s="12"/>
      <c r="AB254" s="12"/>
      <c r="AC254" s="12"/>
    </row>
    <row r="255" spans="1:29" x14ac:dyDescent="0.2">
      <c r="A255" s="11">
        <v>10</v>
      </c>
      <c r="B255" s="39" t="s">
        <v>22</v>
      </c>
      <c r="C255" s="11">
        <v>2014</v>
      </c>
      <c r="D255" s="12" t="s">
        <v>15</v>
      </c>
      <c r="E255" s="12" t="s">
        <v>59</v>
      </c>
      <c r="F255" s="12"/>
      <c r="G255" s="12"/>
      <c r="H255" s="11"/>
      <c r="I255" s="39" t="s">
        <v>23</v>
      </c>
      <c r="J255" s="11">
        <v>2014</v>
      </c>
      <c r="K255" s="35">
        <f>0.03*24*30</f>
        <v>21.599999999999998</v>
      </c>
      <c r="L255" s="11"/>
      <c r="M255" s="11"/>
      <c r="N255" s="11"/>
      <c r="O255" s="11"/>
      <c r="P255" s="11">
        <v>57</v>
      </c>
      <c r="Q255" s="11"/>
      <c r="R255" s="12"/>
      <c r="S255" s="12"/>
      <c r="T255" s="54">
        <v>32</v>
      </c>
      <c r="U255" s="12"/>
      <c r="V255" s="12"/>
      <c r="W255" s="12"/>
      <c r="X255" s="12"/>
      <c r="Y255" s="12"/>
      <c r="Z255" s="12"/>
      <c r="AA255" s="12"/>
      <c r="AB255" s="12"/>
      <c r="AC255" s="12"/>
    </row>
    <row r="256" spans="1:29" x14ac:dyDescent="0.2">
      <c r="A256" s="9">
        <v>7</v>
      </c>
      <c r="B256" s="40" t="s">
        <v>23</v>
      </c>
      <c r="C256" s="9">
        <v>2014</v>
      </c>
      <c r="D256" s="10" t="s">
        <v>12</v>
      </c>
      <c r="E256" s="10" t="s">
        <v>58</v>
      </c>
      <c r="F256" s="10"/>
      <c r="G256" s="10"/>
      <c r="H256" s="9"/>
      <c r="I256" s="40" t="s">
        <v>24</v>
      </c>
      <c r="J256" s="9">
        <v>2014</v>
      </c>
      <c r="K256" s="34">
        <f>8.51*24*31</f>
        <v>6331.4400000000005</v>
      </c>
      <c r="L256" s="9">
        <v>15</v>
      </c>
      <c r="M256" s="9"/>
      <c r="N256" s="9"/>
      <c r="O256" s="9"/>
      <c r="P256" s="9"/>
      <c r="Q256" s="9"/>
      <c r="R256" s="10"/>
      <c r="S256" s="10"/>
      <c r="T256" s="55"/>
      <c r="U256" s="10">
        <v>15</v>
      </c>
      <c r="V256" s="10"/>
      <c r="W256" s="10"/>
      <c r="X256" s="10"/>
      <c r="Y256" s="10"/>
      <c r="Z256" s="10"/>
      <c r="AA256" s="10"/>
      <c r="AB256" s="10"/>
      <c r="AC256" s="10"/>
    </row>
    <row r="257" spans="1:29" x14ac:dyDescent="0.2">
      <c r="A257" s="9">
        <v>7</v>
      </c>
      <c r="B257" s="40" t="s">
        <v>23</v>
      </c>
      <c r="C257" s="9">
        <v>2014</v>
      </c>
      <c r="D257" s="10" t="s">
        <v>15</v>
      </c>
      <c r="E257" s="10" t="s">
        <v>59</v>
      </c>
      <c r="F257" s="10"/>
      <c r="G257" s="10"/>
      <c r="H257" s="9"/>
      <c r="I257" s="40" t="s">
        <v>24</v>
      </c>
      <c r="J257" s="9">
        <v>2014</v>
      </c>
      <c r="K257" s="34">
        <f>0.01*24*31</f>
        <v>7.4399999999999995</v>
      </c>
      <c r="L257" s="9"/>
      <c r="M257" s="9"/>
      <c r="N257" s="9">
        <v>14</v>
      </c>
      <c r="O257" s="9"/>
      <c r="P257" s="9">
        <v>75</v>
      </c>
      <c r="Q257" s="9"/>
      <c r="R257" s="10"/>
      <c r="S257" s="10"/>
      <c r="T257" s="55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x14ac:dyDescent="0.2">
      <c r="A258" s="11">
        <v>8</v>
      </c>
      <c r="B258" s="39" t="s">
        <v>24</v>
      </c>
      <c r="C258" s="11">
        <v>2014</v>
      </c>
      <c r="D258" s="12" t="s">
        <v>12</v>
      </c>
      <c r="E258" s="12" t="s">
        <v>58</v>
      </c>
      <c r="F258" s="12"/>
      <c r="G258" s="12"/>
      <c r="H258" s="11"/>
      <c r="I258" s="39" t="s">
        <v>25</v>
      </c>
      <c r="J258" s="11">
        <v>2014</v>
      </c>
      <c r="K258" s="35">
        <f>8.45*24*30</f>
        <v>6083.9999999999991</v>
      </c>
      <c r="L258" s="11"/>
      <c r="M258" s="11"/>
      <c r="N258" s="11"/>
      <c r="O258" s="11"/>
      <c r="P258" s="11">
        <v>25</v>
      </c>
      <c r="Q258" s="11"/>
      <c r="R258" s="12"/>
      <c r="S258" s="12"/>
      <c r="T258" s="54">
        <v>5</v>
      </c>
      <c r="U258" s="12"/>
      <c r="V258" s="12"/>
      <c r="W258" s="12"/>
      <c r="X258" s="12"/>
      <c r="Y258" s="12"/>
      <c r="Z258" s="12"/>
      <c r="AA258" s="12"/>
      <c r="AB258" s="12"/>
      <c r="AC258" s="12"/>
    </row>
    <row r="259" spans="1:29" x14ac:dyDescent="0.2">
      <c r="A259" s="11">
        <v>8</v>
      </c>
      <c r="B259" s="39" t="s">
        <v>24</v>
      </c>
      <c r="C259" s="11">
        <v>2014</v>
      </c>
      <c r="D259" s="12" t="s">
        <v>15</v>
      </c>
      <c r="E259" s="12" t="s">
        <v>59</v>
      </c>
      <c r="F259" s="12"/>
      <c r="G259" s="12"/>
      <c r="H259" s="11"/>
      <c r="I259" s="39" t="s">
        <v>25</v>
      </c>
      <c r="J259" s="11">
        <v>2014</v>
      </c>
      <c r="K259" s="35">
        <f>0.01*24*30</f>
        <v>7.1999999999999993</v>
      </c>
      <c r="L259" s="11"/>
      <c r="M259" s="11"/>
      <c r="N259" s="11">
        <v>13</v>
      </c>
      <c r="O259" s="11"/>
      <c r="P259" s="11">
        <v>76</v>
      </c>
      <c r="Q259" s="11"/>
      <c r="R259" s="12"/>
      <c r="S259" s="12"/>
      <c r="T259" s="54"/>
      <c r="U259" s="12"/>
      <c r="V259" s="12"/>
      <c r="W259" s="12"/>
      <c r="X259" s="12"/>
      <c r="Y259" s="12"/>
      <c r="Z259" s="12"/>
      <c r="AA259" s="12"/>
      <c r="AB259" s="12"/>
      <c r="AC259" s="12"/>
    </row>
    <row r="260" spans="1:29" x14ac:dyDescent="0.2">
      <c r="A260" s="9">
        <v>23</v>
      </c>
      <c r="B260" s="40" t="s">
        <v>24</v>
      </c>
      <c r="C260" s="9">
        <v>2014</v>
      </c>
      <c r="D260" s="10" t="s">
        <v>49</v>
      </c>
      <c r="E260" s="10" t="s">
        <v>58</v>
      </c>
      <c r="F260" s="10"/>
      <c r="G260" s="10"/>
      <c r="H260" s="9"/>
      <c r="I260" s="40" t="s">
        <v>26</v>
      </c>
      <c r="J260" s="9">
        <v>2014</v>
      </c>
      <c r="K260" s="34">
        <f>9*92*24/3</f>
        <v>6624</v>
      </c>
      <c r="L260" s="9"/>
      <c r="M260" s="9"/>
      <c r="N260" s="9"/>
      <c r="O260" s="9"/>
      <c r="P260" s="9"/>
      <c r="Q260" s="9"/>
      <c r="R260" s="10"/>
      <c r="S260" s="10"/>
      <c r="T260" s="55"/>
      <c r="U260" s="10">
        <v>20</v>
      </c>
      <c r="V260" s="10"/>
      <c r="W260" s="10"/>
      <c r="X260" s="10"/>
      <c r="Y260" s="10"/>
      <c r="Z260" s="10"/>
      <c r="AA260" s="10"/>
      <c r="AB260" s="10"/>
      <c r="AC260" s="10"/>
    </row>
    <row r="261" spans="1:29" x14ac:dyDescent="0.2">
      <c r="A261" s="9">
        <v>23</v>
      </c>
      <c r="B261" s="40" t="s">
        <v>24</v>
      </c>
      <c r="C261" s="9">
        <v>2014</v>
      </c>
      <c r="D261" s="10" t="s">
        <v>65</v>
      </c>
      <c r="E261" s="10" t="s">
        <v>59</v>
      </c>
      <c r="F261" s="10"/>
      <c r="G261" s="10"/>
      <c r="H261" s="9"/>
      <c r="I261" s="40" t="s">
        <v>26</v>
      </c>
      <c r="J261" s="9">
        <v>2014</v>
      </c>
      <c r="K261" s="34">
        <f>0.01*92*24/3</f>
        <v>7.36</v>
      </c>
      <c r="L261" s="9"/>
      <c r="M261" s="9"/>
      <c r="N261" s="9">
        <v>3</v>
      </c>
      <c r="O261" s="9"/>
      <c r="P261" s="9"/>
      <c r="Q261" s="9"/>
      <c r="R261" s="10"/>
      <c r="S261" s="10"/>
      <c r="T261" s="55">
        <v>6</v>
      </c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x14ac:dyDescent="0.2">
      <c r="A262" s="11">
        <v>27</v>
      </c>
      <c r="B262" s="39" t="s">
        <v>25</v>
      </c>
      <c r="C262" s="11">
        <v>2014</v>
      </c>
      <c r="D262" s="12" t="s">
        <v>6</v>
      </c>
      <c r="E262" s="12" t="s">
        <v>58</v>
      </c>
      <c r="F262" s="12">
        <f t="shared" ref="F262" si="25">SUMIF($AP$5:$AP$26,D262,$AU$5:$AU$26)</f>
        <v>12</v>
      </c>
      <c r="G262" s="12">
        <f t="shared" ref="G262" si="26">SUMIF($AM$5:$AM$26,I262,$AL$5:$AL$26)</f>
        <v>10</v>
      </c>
      <c r="H262" s="11">
        <v>1</v>
      </c>
      <c r="I262" s="39" t="s">
        <v>29</v>
      </c>
      <c r="J262" s="11">
        <v>2014</v>
      </c>
      <c r="K262" s="35">
        <f>5.07*24*365/12</f>
        <v>3701.1000000000004</v>
      </c>
      <c r="L262" s="11">
        <v>10</v>
      </c>
      <c r="M262" s="11"/>
      <c r="N262" s="11">
        <v>7</v>
      </c>
      <c r="O262" s="11"/>
      <c r="P262" s="11"/>
      <c r="Q262" s="11"/>
      <c r="R262" s="12"/>
      <c r="S262" s="12"/>
      <c r="T262" s="54">
        <v>5</v>
      </c>
      <c r="U262" s="12"/>
      <c r="V262" s="12">
        <v>17</v>
      </c>
      <c r="W262" s="12"/>
      <c r="X262" s="12"/>
      <c r="Y262" s="12"/>
      <c r="Z262" s="12"/>
      <c r="AA262" s="12"/>
      <c r="AB262" s="12"/>
      <c r="AC262" s="12"/>
    </row>
    <row r="263" spans="1:29" x14ac:dyDescent="0.2">
      <c r="A263" s="11">
        <v>27</v>
      </c>
      <c r="B263" s="39" t="s">
        <v>25</v>
      </c>
      <c r="C263" s="11">
        <v>2014</v>
      </c>
      <c r="D263" s="12" t="s">
        <v>6</v>
      </c>
      <c r="E263" s="62" t="s">
        <v>59</v>
      </c>
      <c r="F263" s="12">
        <f t="shared" ref="F263:F264" si="27">SUMIF($AP$5:$AP$26,D263,$AU$5:$AU$26)</f>
        <v>12</v>
      </c>
      <c r="G263" s="12">
        <f t="shared" ref="G263:G264" si="28">SUMIF($AM$5:$AM$26,I263,$AL$5:$AL$26)</f>
        <v>10</v>
      </c>
      <c r="H263" s="11">
        <v>1</v>
      </c>
      <c r="I263" s="39" t="s">
        <v>29</v>
      </c>
      <c r="J263" s="11">
        <v>2014</v>
      </c>
      <c r="K263" s="35">
        <f>0.07*24*365/12</f>
        <v>51.1</v>
      </c>
      <c r="L263" s="11"/>
      <c r="M263" s="11"/>
      <c r="N263" s="11"/>
      <c r="O263" s="11">
        <v>10</v>
      </c>
      <c r="P263" s="11"/>
      <c r="Q263" s="11"/>
      <c r="R263" s="12"/>
      <c r="S263" s="12"/>
      <c r="T263" s="54"/>
      <c r="U263" s="12"/>
      <c r="V263" s="12">
        <v>5</v>
      </c>
      <c r="W263" s="12"/>
      <c r="X263" s="12"/>
      <c r="Y263" s="12"/>
      <c r="Z263" s="12"/>
      <c r="AA263" s="12"/>
      <c r="AB263" s="12"/>
      <c r="AC263" s="12"/>
    </row>
    <row r="264" spans="1:29" x14ac:dyDescent="0.2">
      <c r="A264" s="9">
        <v>18</v>
      </c>
      <c r="B264" s="40" t="s">
        <v>26</v>
      </c>
      <c r="C264" s="9">
        <v>2014</v>
      </c>
      <c r="D264" s="10" t="s">
        <v>6</v>
      </c>
      <c r="E264" s="10" t="s">
        <v>58</v>
      </c>
      <c r="F264" s="10">
        <f t="shared" si="27"/>
        <v>12</v>
      </c>
      <c r="G264" s="10">
        <f t="shared" si="28"/>
        <v>10</v>
      </c>
      <c r="H264" s="9">
        <v>1</v>
      </c>
      <c r="I264" s="40" t="s">
        <v>29</v>
      </c>
      <c r="J264" s="9">
        <v>2014</v>
      </c>
      <c r="K264" s="34">
        <f>5.6*24*365/12</f>
        <v>4087.9999999999995</v>
      </c>
      <c r="L264" s="9">
        <v>5</v>
      </c>
      <c r="M264" s="9"/>
      <c r="N264" s="9"/>
      <c r="O264" s="9"/>
      <c r="P264" s="9"/>
      <c r="Q264" s="9"/>
      <c r="R264" s="10"/>
      <c r="S264" s="10"/>
      <c r="T264" s="55"/>
      <c r="U264" s="10">
        <v>35</v>
      </c>
      <c r="V264" s="10">
        <v>4</v>
      </c>
      <c r="W264" s="10"/>
      <c r="X264" s="10"/>
      <c r="Y264" s="10"/>
      <c r="Z264" s="10"/>
      <c r="AA264" s="10"/>
      <c r="AB264" s="10"/>
      <c r="AC264" s="10"/>
    </row>
    <row r="265" spans="1:29" x14ac:dyDescent="0.2">
      <c r="A265" s="9">
        <v>18</v>
      </c>
      <c r="B265" s="40" t="s">
        <v>26</v>
      </c>
      <c r="C265" s="9">
        <v>2014</v>
      </c>
      <c r="D265" s="10" t="s">
        <v>14</v>
      </c>
      <c r="E265" s="10" t="s">
        <v>59</v>
      </c>
      <c r="F265" s="10">
        <f t="shared" ref="F265" si="29">SUMIF($AP$5:$AP$26,D265,$AU$5:$AU$26)</f>
        <v>11</v>
      </c>
      <c r="G265" s="10">
        <f t="shared" ref="G265" si="30">SUMIF($AM$5:$AM$26,I265,$AL$5:$AL$26)</f>
        <v>10</v>
      </c>
      <c r="H265" s="9">
        <v>1</v>
      </c>
      <c r="I265" s="40" t="s">
        <v>29</v>
      </c>
      <c r="J265" s="9">
        <v>2014</v>
      </c>
      <c r="K265" s="34">
        <f>0.07*24*365/12</f>
        <v>51.1</v>
      </c>
      <c r="L265" s="9"/>
      <c r="M265" s="9"/>
      <c r="N265" s="9"/>
      <c r="O265" s="9"/>
      <c r="P265" s="9"/>
      <c r="Q265" s="9"/>
      <c r="R265" s="10"/>
      <c r="S265" s="10"/>
      <c r="T265" s="55">
        <v>1</v>
      </c>
      <c r="U265" s="10"/>
      <c r="V265" s="10">
        <v>7</v>
      </c>
      <c r="W265" s="10"/>
      <c r="X265" s="10">
        <v>6</v>
      </c>
      <c r="Y265" s="10"/>
      <c r="Z265" s="10"/>
      <c r="AA265" s="10"/>
      <c r="AB265" s="10"/>
      <c r="AC265" s="10"/>
    </row>
    <row r="266" spans="1:29" x14ac:dyDescent="0.2">
      <c r="A266" s="11">
        <v>5</v>
      </c>
      <c r="B266" s="39" t="s">
        <v>27</v>
      </c>
      <c r="C266" s="11">
        <v>2014</v>
      </c>
      <c r="D266" s="12" t="s">
        <v>12</v>
      </c>
      <c r="E266" s="12" t="s">
        <v>58</v>
      </c>
      <c r="F266" s="12"/>
      <c r="G266" s="12"/>
      <c r="H266" s="11"/>
      <c r="I266" s="39" t="s">
        <v>28</v>
      </c>
      <c r="J266" s="11">
        <v>2014</v>
      </c>
      <c r="K266" s="35">
        <f>7.58*24*30</f>
        <v>5457.6</v>
      </c>
      <c r="L266" s="11"/>
      <c r="M266" s="11"/>
      <c r="N266" s="11">
        <v>20</v>
      </c>
      <c r="O266" s="11"/>
      <c r="P266" s="11">
        <v>10</v>
      </c>
      <c r="Q266" s="11"/>
      <c r="R266" s="12"/>
      <c r="S266" s="12"/>
      <c r="T266" s="54"/>
      <c r="U266" s="12"/>
      <c r="V266" s="12"/>
      <c r="W266" s="12"/>
      <c r="X266" s="12"/>
      <c r="Y266" s="12"/>
      <c r="Z266" s="12"/>
      <c r="AA266" s="12"/>
      <c r="AB266" s="12"/>
      <c r="AC266" s="12"/>
    </row>
    <row r="267" spans="1:29" x14ac:dyDescent="0.2">
      <c r="A267" s="11">
        <v>5</v>
      </c>
      <c r="B267" s="39" t="s">
        <v>27</v>
      </c>
      <c r="C267" s="11">
        <v>2014</v>
      </c>
      <c r="D267" s="12" t="s">
        <v>15</v>
      </c>
      <c r="E267" s="12" t="s">
        <v>59</v>
      </c>
      <c r="F267" s="12"/>
      <c r="G267" s="12"/>
      <c r="H267" s="11"/>
      <c r="I267" s="39" t="s">
        <v>28</v>
      </c>
      <c r="J267" s="11">
        <v>2014</v>
      </c>
      <c r="K267" s="35">
        <f>0*24*30</f>
        <v>0</v>
      </c>
      <c r="L267" s="11"/>
      <c r="M267" s="11"/>
      <c r="N267" s="11">
        <v>15</v>
      </c>
      <c r="O267" s="11">
        <v>6</v>
      </c>
      <c r="P267" s="11">
        <v>62</v>
      </c>
      <c r="Q267" s="11"/>
      <c r="R267" s="12"/>
      <c r="S267" s="12"/>
      <c r="T267" s="54">
        <v>6</v>
      </c>
      <c r="U267" s="12"/>
      <c r="V267" s="12"/>
      <c r="W267" s="12"/>
      <c r="X267" s="12"/>
      <c r="Y267" s="12"/>
      <c r="Z267" s="12"/>
      <c r="AA267" s="12"/>
      <c r="AB267" s="12"/>
      <c r="AC267" s="12"/>
    </row>
    <row r="268" spans="1:29" x14ac:dyDescent="0.2">
      <c r="A268" s="9">
        <v>14</v>
      </c>
      <c r="B268" s="40" t="s">
        <v>27</v>
      </c>
      <c r="C268" s="9">
        <v>2014</v>
      </c>
      <c r="D268" s="10" t="s">
        <v>49</v>
      </c>
      <c r="E268" s="10" t="s">
        <v>58</v>
      </c>
      <c r="F268" s="10"/>
      <c r="G268" s="10"/>
      <c r="H268" s="9"/>
      <c r="I268" s="40" t="s">
        <v>29</v>
      </c>
      <c r="J268" s="9">
        <v>2014</v>
      </c>
      <c r="K268" s="34">
        <f>7.17*24*92/3</f>
        <v>5277.12</v>
      </c>
      <c r="L268" s="9"/>
      <c r="M268" s="9"/>
      <c r="N268" s="9"/>
      <c r="O268" s="9"/>
      <c r="P268" s="9">
        <v>20</v>
      </c>
      <c r="Q268" s="9"/>
      <c r="R268" s="10"/>
      <c r="S268" s="10"/>
      <c r="T268" s="55">
        <v>5</v>
      </c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x14ac:dyDescent="0.2">
      <c r="A269" s="9">
        <v>14</v>
      </c>
      <c r="B269" s="40" t="s">
        <v>27</v>
      </c>
      <c r="C269" s="9">
        <v>2014</v>
      </c>
      <c r="D269" s="10" t="s">
        <v>65</v>
      </c>
      <c r="E269" s="10" t="s">
        <v>59</v>
      </c>
      <c r="F269" s="10"/>
      <c r="G269" s="10"/>
      <c r="H269" s="9"/>
      <c r="I269" s="40" t="s">
        <v>29</v>
      </c>
      <c r="J269" s="9">
        <v>2014</v>
      </c>
      <c r="K269" s="34">
        <f>0.01*24*92/3</f>
        <v>7.3599999999999994</v>
      </c>
      <c r="L269" s="9"/>
      <c r="M269" s="9"/>
      <c r="N269" s="9">
        <v>6</v>
      </c>
      <c r="O269" s="9">
        <v>3</v>
      </c>
      <c r="P269" s="9">
        <v>6</v>
      </c>
      <c r="Q269" s="9"/>
      <c r="R269" s="10"/>
      <c r="S269" s="10"/>
      <c r="T269" s="55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x14ac:dyDescent="0.2">
      <c r="A270" s="11">
        <v>22</v>
      </c>
      <c r="B270" s="39" t="s">
        <v>27</v>
      </c>
      <c r="C270" s="11">
        <v>2014</v>
      </c>
      <c r="D270" s="12" t="s">
        <v>48</v>
      </c>
      <c r="E270" s="12" t="s">
        <v>58</v>
      </c>
      <c r="F270" s="12"/>
      <c r="G270" s="12"/>
      <c r="H270" s="11"/>
      <c r="I270" s="39" t="s">
        <v>29</v>
      </c>
      <c r="J270" s="11">
        <v>2014</v>
      </c>
      <c r="K270" s="35">
        <f>7.02*24*182/6</f>
        <v>5110.5599999999995</v>
      </c>
      <c r="L270" s="11"/>
      <c r="M270" s="11"/>
      <c r="N270" s="11">
        <v>5</v>
      </c>
      <c r="O270" s="11">
        <v>15</v>
      </c>
      <c r="P270" s="11"/>
      <c r="Q270" s="11"/>
      <c r="R270" s="12"/>
      <c r="S270" s="12"/>
      <c r="T270" s="54">
        <v>5</v>
      </c>
      <c r="U270" s="12"/>
      <c r="V270" s="12"/>
      <c r="W270" s="12"/>
      <c r="X270" s="12"/>
      <c r="Y270" s="12"/>
      <c r="Z270" s="12"/>
      <c r="AA270" s="12"/>
      <c r="AB270" s="12"/>
      <c r="AC270" s="12"/>
    </row>
    <row r="271" spans="1:29" x14ac:dyDescent="0.2">
      <c r="A271" s="11">
        <v>22</v>
      </c>
      <c r="B271" s="39" t="s">
        <v>27</v>
      </c>
      <c r="C271" s="11">
        <v>2014</v>
      </c>
      <c r="D271" s="12" t="s">
        <v>66</v>
      </c>
      <c r="E271" s="12" t="s">
        <v>59</v>
      </c>
      <c r="F271" s="12"/>
      <c r="G271" s="12"/>
      <c r="H271" s="11"/>
      <c r="I271" s="39" t="s">
        <v>29</v>
      </c>
      <c r="J271" s="11">
        <v>2014</v>
      </c>
      <c r="K271" s="35">
        <f>0.01*24*182/6</f>
        <v>7.28</v>
      </c>
      <c r="L271" s="11"/>
      <c r="M271" s="11"/>
      <c r="N271" s="11">
        <v>7</v>
      </c>
      <c r="O271" s="11">
        <v>7</v>
      </c>
      <c r="P271" s="11"/>
      <c r="Q271" s="11"/>
      <c r="R271" s="12"/>
      <c r="S271" s="12"/>
      <c r="T271" s="54"/>
      <c r="U271" s="12"/>
      <c r="V271" s="12"/>
      <c r="W271" s="12"/>
      <c r="X271" s="12"/>
      <c r="Y271" s="12"/>
      <c r="Z271" s="12"/>
      <c r="AA271" s="12"/>
      <c r="AB271" s="12"/>
      <c r="AC271" s="12"/>
    </row>
    <row r="272" spans="1:29" x14ac:dyDescent="0.2">
      <c r="A272" s="9">
        <v>10</v>
      </c>
      <c r="B272" s="40" t="s">
        <v>28</v>
      </c>
      <c r="C272" s="9">
        <v>2014</v>
      </c>
      <c r="D272" s="10" t="s">
        <v>12</v>
      </c>
      <c r="E272" s="10" t="s">
        <v>58</v>
      </c>
      <c r="F272" s="10"/>
      <c r="G272" s="10"/>
      <c r="H272" s="9"/>
      <c r="I272" s="40" t="s">
        <v>29</v>
      </c>
      <c r="J272" s="9">
        <v>2014</v>
      </c>
      <c r="K272" s="34">
        <f>8.46*24*31</f>
        <v>6294.2400000000007</v>
      </c>
      <c r="L272" s="9"/>
      <c r="M272" s="9"/>
      <c r="N272" s="9">
        <v>30</v>
      </c>
      <c r="O272" s="9"/>
      <c r="P272" s="9"/>
      <c r="Q272" s="9"/>
      <c r="R272" s="10"/>
      <c r="S272" s="10"/>
      <c r="T272" s="55">
        <v>5</v>
      </c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x14ac:dyDescent="0.2">
      <c r="A273" s="9">
        <v>10</v>
      </c>
      <c r="B273" s="40" t="s">
        <v>28</v>
      </c>
      <c r="C273" s="9">
        <v>2014</v>
      </c>
      <c r="D273" s="10" t="s">
        <v>15</v>
      </c>
      <c r="E273" s="10" t="s">
        <v>59</v>
      </c>
      <c r="F273" s="10"/>
      <c r="G273" s="10"/>
      <c r="H273" s="9"/>
      <c r="I273" s="40" t="s">
        <v>29</v>
      </c>
      <c r="J273" s="9">
        <v>2014</v>
      </c>
      <c r="K273" s="34">
        <f>0.01*24*30</f>
        <v>7.1999999999999993</v>
      </c>
      <c r="L273" s="9"/>
      <c r="M273" s="9"/>
      <c r="N273" s="9">
        <v>16</v>
      </c>
      <c r="O273" s="9"/>
      <c r="P273" s="9"/>
      <c r="Q273" s="9"/>
      <c r="R273" s="10"/>
      <c r="S273" s="10"/>
      <c r="T273" s="55">
        <v>74</v>
      </c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x14ac:dyDescent="0.2">
      <c r="A274" s="11">
        <v>6</v>
      </c>
      <c r="B274" s="39" t="s">
        <v>29</v>
      </c>
      <c r="C274" s="11">
        <v>2014</v>
      </c>
      <c r="D274" s="12" t="s">
        <v>12</v>
      </c>
      <c r="E274" s="12" t="s">
        <v>58</v>
      </c>
      <c r="F274" s="12"/>
      <c r="G274" s="12"/>
      <c r="H274" s="11"/>
      <c r="I274" s="39" t="s">
        <v>30</v>
      </c>
      <c r="J274" s="11">
        <v>2014</v>
      </c>
      <c r="K274" s="35">
        <f>5.76*24*30</f>
        <v>4147.2000000000007</v>
      </c>
      <c r="L274" s="11"/>
      <c r="M274" s="11"/>
      <c r="N274" s="11"/>
      <c r="O274" s="11"/>
      <c r="P274" s="11">
        <v>10</v>
      </c>
      <c r="Q274" s="11"/>
      <c r="R274" s="12"/>
      <c r="S274" s="12"/>
      <c r="T274" s="54">
        <v>25</v>
      </c>
      <c r="U274" s="12"/>
      <c r="V274" s="12"/>
      <c r="W274" s="12"/>
      <c r="X274" s="12"/>
      <c r="Y274" s="12"/>
      <c r="Z274" s="12"/>
      <c r="AA274" s="12"/>
      <c r="AB274" s="12"/>
      <c r="AC274" s="12"/>
    </row>
    <row r="275" spans="1:29" x14ac:dyDescent="0.2">
      <c r="A275" s="11">
        <v>6</v>
      </c>
      <c r="B275" s="39" t="s">
        <v>29</v>
      </c>
      <c r="C275" s="11">
        <v>2014</v>
      </c>
      <c r="D275" s="12" t="s">
        <v>15</v>
      </c>
      <c r="E275" s="12" t="s">
        <v>59</v>
      </c>
      <c r="F275" s="12"/>
      <c r="G275" s="12"/>
      <c r="H275" s="11"/>
      <c r="I275" s="39" t="s">
        <v>30</v>
      </c>
      <c r="J275" s="11">
        <v>2014</v>
      </c>
      <c r="K275" s="35">
        <f>0.02*24*30</f>
        <v>14.399999999999999</v>
      </c>
      <c r="L275" s="11"/>
      <c r="M275" s="11"/>
      <c r="N275" s="11"/>
      <c r="O275" s="11">
        <v>42</v>
      </c>
      <c r="P275" s="11">
        <v>48</v>
      </c>
      <c r="Q275" s="11"/>
      <c r="R275" s="12"/>
      <c r="S275" s="12"/>
      <c r="T275" s="54"/>
      <c r="U275" s="12"/>
      <c r="V275" s="12"/>
      <c r="W275" s="12"/>
      <c r="X275" s="12"/>
      <c r="Y275" s="12"/>
      <c r="Z275" s="12"/>
      <c r="AA275" s="12"/>
      <c r="AB275" s="12"/>
      <c r="AC275" s="12"/>
    </row>
    <row r="276" spans="1:29" x14ac:dyDescent="0.2">
      <c r="A276" s="9">
        <v>11</v>
      </c>
      <c r="B276" s="40" t="s">
        <v>30</v>
      </c>
      <c r="C276" s="9">
        <v>2014</v>
      </c>
      <c r="D276" s="10" t="s">
        <v>12</v>
      </c>
      <c r="E276" s="10" t="s">
        <v>58</v>
      </c>
      <c r="F276" s="10"/>
      <c r="G276" s="10"/>
      <c r="H276" s="9"/>
      <c r="I276" s="40" t="s">
        <v>31</v>
      </c>
      <c r="J276" s="9">
        <v>2014</v>
      </c>
      <c r="K276" s="34">
        <v>4627.68</v>
      </c>
      <c r="L276" s="9"/>
      <c r="M276" s="9"/>
      <c r="N276" s="9"/>
      <c r="O276" s="9"/>
      <c r="P276" s="9">
        <v>20</v>
      </c>
      <c r="Q276" s="9"/>
      <c r="R276" s="10"/>
      <c r="S276" s="10"/>
      <c r="T276" s="55">
        <v>15</v>
      </c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x14ac:dyDescent="0.2">
      <c r="A277" s="9">
        <v>11</v>
      </c>
      <c r="B277" s="40" t="s">
        <v>30</v>
      </c>
      <c r="C277" s="9">
        <v>2014</v>
      </c>
      <c r="D277" s="10" t="s">
        <v>15</v>
      </c>
      <c r="E277" s="10" t="s">
        <v>59</v>
      </c>
      <c r="F277" s="10"/>
      <c r="G277" s="10"/>
      <c r="H277" s="9"/>
      <c r="I277" s="40" t="s">
        <v>31</v>
      </c>
      <c r="J277" s="9">
        <v>2014</v>
      </c>
      <c r="K277" s="34">
        <v>29.759999999999998</v>
      </c>
      <c r="L277" s="9">
        <v>15</v>
      </c>
      <c r="M277" s="9"/>
      <c r="N277" s="9"/>
      <c r="O277" s="9">
        <v>65</v>
      </c>
      <c r="P277" s="9"/>
      <c r="Q277" s="9"/>
      <c r="R277" s="10"/>
      <c r="S277" s="10"/>
      <c r="T277" s="55"/>
      <c r="U277" s="10"/>
      <c r="V277" s="10">
        <v>10</v>
      </c>
      <c r="W277" s="10"/>
      <c r="X277" s="10"/>
      <c r="Y277" s="10"/>
      <c r="Z277" s="10"/>
      <c r="AA277" s="10"/>
      <c r="AB277" s="10"/>
      <c r="AC277" s="10"/>
    </row>
    <row r="278" spans="1:29" x14ac:dyDescent="0.2">
      <c r="A278" s="11">
        <v>21</v>
      </c>
      <c r="B278" s="39" t="s">
        <v>30</v>
      </c>
      <c r="C278" s="11">
        <v>2014</v>
      </c>
      <c r="D278" s="12" t="s">
        <v>49</v>
      </c>
      <c r="E278" s="12" t="s">
        <v>58</v>
      </c>
      <c r="F278" s="12"/>
      <c r="G278" s="12"/>
      <c r="H278" s="11"/>
      <c r="I278" s="39" t="s">
        <v>20</v>
      </c>
      <c r="J278" s="11">
        <v>2015</v>
      </c>
      <c r="K278" s="35">
        <v>6170.4000000000005</v>
      </c>
      <c r="L278" s="11"/>
      <c r="M278" s="11"/>
      <c r="N278" s="11"/>
      <c r="O278" s="11"/>
      <c r="P278" s="11"/>
      <c r="Q278" s="11"/>
      <c r="R278" s="12"/>
      <c r="S278" s="12"/>
      <c r="T278" s="54">
        <v>5</v>
      </c>
      <c r="U278" s="12">
        <v>20</v>
      </c>
      <c r="V278" s="12"/>
      <c r="W278" s="12"/>
      <c r="X278" s="12"/>
      <c r="Y278" s="12"/>
      <c r="Z278" s="12"/>
      <c r="AA278" s="12"/>
      <c r="AB278" s="12"/>
      <c r="AC278" s="12"/>
    </row>
    <row r="279" spans="1:29" x14ac:dyDescent="0.2">
      <c r="A279" s="11">
        <v>21</v>
      </c>
      <c r="B279" s="39" t="s">
        <v>30</v>
      </c>
      <c r="C279" s="11">
        <v>2014</v>
      </c>
      <c r="D279" s="12" t="s">
        <v>65</v>
      </c>
      <c r="E279" s="12" t="s">
        <v>59</v>
      </c>
      <c r="F279" s="12"/>
      <c r="G279" s="12"/>
      <c r="H279" s="11"/>
      <c r="I279" s="39" t="s">
        <v>20</v>
      </c>
      <c r="J279" s="11">
        <v>2015</v>
      </c>
      <c r="K279" s="35">
        <v>28.799999999999997</v>
      </c>
      <c r="L279" s="11">
        <v>2</v>
      </c>
      <c r="M279" s="11"/>
      <c r="N279" s="11"/>
      <c r="O279" s="11">
        <v>7</v>
      </c>
      <c r="P279" s="11"/>
      <c r="Q279" s="11"/>
      <c r="R279" s="12"/>
      <c r="S279" s="12"/>
      <c r="T279" s="54"/>
      <c r="U279" s="12"/>
      <c r="V279" s="12">
        <v>5</v>
      </c>
      <c r="W279" s="12"/>
      <c r="X279" s="12"/>
      <c r="Y279" s="12"/>
      <c r="Z279" s="12"/>
      <c r="AA279" s="12"/>
      <c r="AB279" s="12"/>
      <c r="AC279" s="12"/>
    </row>
    <row r="280" spans="1:29" x14ac:dyDescent="0.2">
      <c r="A280" s="9">
        <v>9</v>
      </c>
      <c r="B280" s="40" t="s">
        <v>31</v>
      </c>
      <c r="C280" s="9">
        <v>2014</v>
      </c>
      <c r="D280" s="10" t="s">
        <v>12</v>
      </c>
      <c r="E280" s="10" t="s">
        <v>58</v>
      </c>
      <c r="F280" s="10"/>
      <c r="G280" s="10"/>
      <c r="H280" s="9"/>
      <c r="I280" s="40" t="s">
        <v>20</v>
      </c>
      <c r="J280" s="9">
        <v>2015</v>
      </c>
      <c r="K280" s="34">
        <f>7.21*24*31</f>
        <v>5364.24</v>
      </c>
      <c r="L280" s="9"/>
      <c r="M280" s="9"/>
      <c r="N280" s="9"/>
      <c r="O280" s="9"/>
      <c r="P280" s="9">
        <v>10</v>
      </c>
      <c r="Q280" s="9"/>
      <c r="R280" s="10"/>
      <c r="S280" s="10"/>
      <c r="T280" s="55">
        <v>25</v>
      </c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x14ac:dyDescent="0.2">
      <c r="A281" s="9">
        <v>9</v>
      </c>
      <c r="B281" s="40" t="s">
        <v>31</v>
      </c>
      <c r="C281" s="9">
        <v>2014</v>
      </c>
      <c r="D281" s="10" t="s">
        <v>15</v>
      </c>
      <c r="E281" s="10" t="s">
        <v>59</v>
      </c>
      <c r="F281" s="10"/>
      <c r="G281" s="10"/>
      <c r="H281" s="9"/>
      <c r="I281" s="40" t="s">
        <v>20</v>
      </c>
      <c r="J281" s="9">
        <v>2015</v>
      </c>
      <c r="K281" s="34">
        <f>0.03*24*31</f>
        <v>22.32</v>
      </c>
      <c r="L281" s="9"/>
      <c r="M281" s="9"/>
      <c r="N281" s="9"/>
      <c r="O281" s="9">
        <v>49</v>
      </c>
      <c r="P281" s="9">
        <v>29</v>
      </c>
      <c r="Q281" s="9"/>
      <c r="R281" s="10"/>
      <c r="S281" s="10"/>
      <c r="T281" s="55">
        <v>11</v>
      </c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x14ac:dyDescent="0.2">
      <c r="A282" s="11">
        <v>6</v>
      </c>
      <c r="B282" s="39" t="s">
        <v>20</v>
      </c>
      <c r="C282" s="11">
        <v>2015</v>
      </c>
      <c r="D282" s="12" t="s">
        <v>12</v>
      </c>
      <c r="E282" s="12" t="s">
        <v>58</v>
      </c>
      <c r="F282" s="12"/>
      <c r="G282" s="12"/>
      <c r="H282" s="11"/>
      <c r="I282" s="39" t="s">
        <v>21</v>
      </c>
      <c r="J282" s="11">
        <v>2015</v>
      </c>
      <c r="K282" s="35">
        <f>8.71*24*28</f>
        <v>5853.1200000000008</v>
      </c>
      <c r="L282" s="11"/>
      <c r="M282" s="11"/>
      <c r="N282" s="11"/>
      <c r="O282" s="11"/>
      <c r="P282" s="11">
        <v>15</v>
      </c>
      <c r="Q282" s="11"/>
      <c r="R282" s="12"/>
      <c r="S282" s="12"/>
      <c r="T282" s="54">
        <v>10</v>
      </c>
      <c r="U282" s="12"/>
      <c r="V282" s="12"/>
      <c r="W282" s="12"/>
      <c r="X282" s="12"/>
      <c r="Y282" s="12"/>
      <c r="Z282" s="12"/>
      <c r="AA282" s="12"/>
      <c r="AB282" s="12"/>
      <c r="AC282" s="12"/>
    </row>
    <row r="283" spans="1:29" x14ac:dyDescent="0.2">
      <c r="A283" s="11">
        <v>6</v>
      </c>
      <c r="B283" s="39" t="s">
        <v>20</v>
      </c>
      <c r="C283" s="11">
        <v>2015</v>
      </c>
      <c r="D283" s="12" t="s">
        <v>15</v>
      </c>
      <c r="E283" s="12" t="s">
        <v>59</v>
      </c>
      <c r="F283" s="12"/>
      <c r="G283" s="12"/>
      <c r="H283" s="11"/>
      <c r="I283" s="39" t="s">
        <v>21</v>
      </c>
      <c r="J283" s="11">
        <v>2015</v>
      </c>
      <c r="K283" s="35">
        <f>0.01*24*28</f>
        <v>6.72</v>
      </c>
      <c r="L283" s="11"/>
      <c r="M283" s="11"/>
      <c r="N283" s="11"/>
      <c r="O283" s="11"/>
      <c r="P283" s="11">
        <v>77</v>
      </c>
      <c r="Q283" s="11"/>
      <c r="R283" s="12"/>
      <c r="S283" s="12"/>
      <c r="T283" s="54">
        <v>12</v>
      </c>
      <c r="U283" s="12"/>
      <c r="V283" s="12"/>
      <c r="W283" s="12"/>
      <c r="X283" s="12"/>
      <c r="Y283" s="12"/>
      <c r="Z283" s="12"/>
      <c r="AA283" s="12"/>
      <c r="AB283" s="12"/>
      <c r="AC283" s="12"/>
    </row>
    <row r="284" spans="1:29" x14ac:dyDescent="0.2">
      <c r="A284" s="9">
        <v>11</v>
      </c>
      <c r="B284" s="40" t="s">
        <v>21</v>
      </c>
      <c r="C284" s="9">
        <v>2015</v>
      </c>
      <c r="D284" s="10" t="s">
        <v>48</v>
      </c>
      <c r="E284" s="10" t="s">
        <v>58</v>
      </c>
      <c r="F284" s="10"/>
      <c r="G284" s="10"/>
      <c r="H284" s="9"/>
      <c r="I284" s="40" t="s">
        <v>23</v>
      </c>
      <c r="J284" s="9">
        <v>2015</v>
      </c>
      <c r="K284" s="34">
        <f>2.06*24*183/6</f>
        <v>1507.92</v>
      </c>
      <c r="L284" s="9"/>
      <c r="M284" s="9"/>
      <c r="N284" s="9"/>
      <c r="O284" s="9"/>
      <c r="P284" s="9">
        <v>5</v>
      </c>
      <c r="Q284" s="9"/>
      <c r="R284" s="10"/>
      <c r="S284" s="10"/>
      <c r="T284" s="55"/>
      <c r="U284" s="10">
        <v>25</v>
      </c>
      <c r="V284" s="10"/>
      <c r="W284" s="10"/>
      <c r="X284" s="10"/>
      <c r="Y284" s="10"/>
      <c r="Z284" s="10"/>
      <c r="AA284" s="10"/>
      <c r="AB284" s="10"/>
      <c r="AC284" s="10"/>
    </row>
    <row r="285" spans="1:29" x14ac:dyDescent="0.2">
      <c r="A285" s="9">
        <v>11</v>
      </c>
      <c r="B285" s="40" t="s">
        <v>21</v>
      </c>
      <c r="C285" s="9">
        <v>2015</v>
      </c>
      <c r="D285" s="10" t="s">
        <v>66</v>
      </c>
      <c r="E285" s="10" t="s">
        <v>59</v>
      </c>
      <c r="F285" s="10"/>
      <c r="G285" s="10"/>
      <c r="H285" s="9"/>
      <c r="I285" s="40" t="s">
        <v>23</v>
      </c>
      <c r="J285" s="9">
        <v>2015</v>
      </c>
      <c r="K285" s="34">
        <f>0.12*24*183/6</f>
        <v>87.839999999999989</v>
      </c>
      <c r="L285" s="9">
        <v>10</v>
      </c>
      <c r="M285" s="9"/>
      <c r="N285" s="9"/>
      <c r="O285" s="9"/>
      <c r="P285" s="9"/>
      <c r="Q285" s="9"/>
      <c r="R285" s="10"/>
      <c r="S285" s="10"/>
      <c r="T285" s="55">
        <v>5</v>
      </c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x14ac:dyDescent="0.2">
      <c r="A286" s="11">
        <v>16</v>
      </c>
      <c r="B286" s="39" t="s">
        <v>21</v>
      </c>
      <c r="C286" s="11">
        <v>2015</v>
      </c>
      <c r="D286" s="12" t="s">
        <v>12</v>
      </c>
      <c r="E286" s="12" t="s">
        <v>58</v>
      </c>
      <c r="F286" s="12"/>
      <c r="G286" s="12"/>
      <c r="H286" s="11"/>
      <c r="I286" s="39" t="s">
        <v>22</v>
      </c>
      <c r="J286" s="11">
        <v>2015</v>
      </c>
      <c r="K286" s="35">
        <f>7.26*24*31</f>
        <v>5401.4400000000005</v>
      </c>
      <c r="L286" s="11"/>
      <c r="M286" s="11"/>
      <c r="N286" s="11">
        <v>25</v>
      </c>
      <c r="O286" s="11"/>
      <c r="P286" s="11"/>
      <c r="Q286" s="11"/>
      <c r="R286" s="12"/>
      <c r="S286" s="12"/>
      <c r="T286" s="54"/>
      <c r="U286" s="12"/>
      <c r="V286" s="12"/>
      <c r="W286" s="12"/>
      <c r="X286" s="12"/>
      <c r="Y286" s="12"/>
      <c r="Z286" s="12"/>
      <c r="AA286" s="12"/>
      <c r="AB286" s="12"/>
      <c r="AC286" s="12"/>
    </row>
    <row r="287" spans="1:29" x14ac:dyDescent="0.2">
      <c r="A287" s="11">
        <v>16</v>
      </c>
      <c r="B287" s="39" t="s">
        <v>21</v>
      </c>
      <c r="C287" s="11">
        <v>2015</v>
      </c>
      <c r="D287" s="12" t="s">
        <v>15</v>
      </c>
      <c r="E287" s="12" t="s">
        <v>59</v>
      </c>
      <c r="F287" s="12"/>
      <c r="G287" s="12"/>
      <c r="H287" s="11"/>
      <c r="I287" s="39" t="s">
        <v>22</v>
      </c>
      <c r="J287" s="11">
        <v>2015</v>
      </c>
      <c r="K287" s="35">
        <f>0.02*24*31</f>
        <v>14.879999999999999</v>
      </c>
      <c r="L287" s="11"/>
      <c r="M287" s="11"/>
      <c r="N287" s="11">
        <v>3</v>
      </c>
      <c r="O287" s="11">
        <v>31</v>
      </c>
      <c r="P287" s="11">
        <v>54</v>
      </c>
      <c r="Q287" s="11"/>
      <c r="R287" s="12"/>
      <c r="S287" s="12"/>
      <c r="T287" s="54"/>
      <c r="U287" s="12"/>
      <c r="V287" s="12"/>
      <c r="W287" s="12"/>
      <c r="X287" s="12"/>
      <c r="Y287" s="12"/>
      <c r="Z287" s="12"/>
      <c r="AA287" s="12"/>
      <c r="AB287" s="12"/>
      <c r="AC287" s="12"/>
    </row>
    <row r="288" spans="1:29" x14ac:dyDescent="0.2">
      <c r="A288" s="9">
        <v>19</v>
      </c>
      <c r="B288" s="40" t="s">
        <v>21</v>
      </c>
      <c r="C288" s="9">
        <v>2015</v>
      </c>
      <c r="D288" s="10" t="s">
        <v>49</v>
      </c>
      <c r="E288" s="10" t="s">
        <v>58</v>
      </c>
      <c r="F288" s="10"/>
      <c r="G288" s="10"/>
      <c r="H288" s="9"/>
      <c r="I288" s="40" t="s">
        <v>23</v>
      </c>
      <c r="J288" s="9">
        <v>2015</v>
      </c>
      <c r="K288" s="34">
        <f>2.14*24*92/3</f>
        <v>1575.04</v>
      </c>
      <c r="L288" s="9"/>
      <c r="M288" s="9"/>
      <c r="N288" s="9">
        <v>10</v>
      </c>
      <c r="O288" s="9">
        <v>10</v>
      </c>
      <c r="P288" s="9"/>
      <c r="Q288" s="9"/>
      <c r="R288" s="10"/>
      <c r="S288" s="10"/>
      <c r="T288" s="55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35" x14ac:dyDescent="0.2">
      <c r="A289" s="9">
        <v>19</v>
      </c>
      <c r="B289" s="40" t="s">
        <v>21</v>
      </c>
      <c r="C289" s="9">
        <v>2015</v>
      </c>
      <c r="D289" s="10" t="s">
        <v>65</v>
      </c>
      <c r="E289" s="10" t="s">
        <v>59</v>
      </c>
      <c r="F289" s="10"/>
      <c r="G289" s="10"/>
      <c r="H289" s="9"/>
      <c r="I289" s="40" t="s">
        <v>23</v>
      </c>
      <c r="J289" s="9">
        <v>2015</v>
      </c>
      <c r="K289" s="34">
        <f>0.08*24*92/3</f>
        <v>58.879999999999995</v>
      </c>
      <c r="L289" s="9"/>
      <c r="M289" s="9"/>
      <c r="N289" s="9"/>
      <c r="O289" s="9"/>
      <c r="P289" s="9">
        <v>1</v>
      </c>
      <c r="Q289" s="9"/>
      <c r="R289" s="10"/>
      <c r="S289" s="10"/>
      <c r="T289" s="55">
        <v>14</v>
      </c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35" x14ac:dyDescent="0.2">
      <c r="A290" s="11">
        <v>10</v>
      </c>
      <c r="B290" s="39" t="s">
        <v>22</v>
      </c>
      <c r="C290" s="11">
        <v>2015</v>
      </c>
      <c r="D290" s="12" t="s">
        <v>12</v>
      </c>
      <c r="E290" s="12" t="s">
        <v>58</v>
      </c>
      <c r="F290" s="12"/>
      <c r="G290" s="12"/>
      <c r="H290" s="11"/>
      <c r="I290" s="39" t="s">
        <v>23</v>
      </c>
      <c r="J290" s="11">
        <v>2015</v>
      </c>
      <c r="K290" s="35">
        <f>3.6*24*30</f>
        <v>2592</v>
      </c>
      <c r="L290" s="11"/>
      <c r="M290" s="11"/>
      <c r="N290" s="11">
        <v>24</v>
      </c>
      <c r="O290" s="11">
        <v>1</v>
      </c>
      <c r="P290" s="11"/>
      <c r="Q290" s="11"/>
      <c r="R290" s="12"/>
      <c r="S290" s="12"/>
      <c r="T290" s="54"/>
      <c r="U290" s="12"/>
      <c r="V290" s="12"/>
      <c r="W290" s="12"/>
      <c r="X290" s="12"/>
      <c r="Y290" s="12"/>
      <c r="Z290" s="12"/>
      <c r="AA290" s="12"/>
      <c r="AB290" s="12"/>
      <c r="AC290" s="12"/>
      <c r="AE290" s="61"/>
      <c r="AG290" s="61"/>
      <c r="AI290" s="61"/>
    </row>
    <row r="291" spans="1:35" x14ac:dyDescent="0.2">
      <c r="A291" s="11">
        <v>10</v>
      </c>
      <c r="B291" s="39" t="s">
        <v>22</v>
      </c>
      <c r="C291" s="11">
        <v>2015</v>
      </c>
      <c r="D291" s="12" t="s">
        <v>15</v>
      </c>
      <c r="E291" s="12" t="s">
        <v>59</v>
      </c>
      <c r="F291" s="12"/>
      <c r="G291" s="12"/>
      <c r="H291" s="11"/>
      <c r="I291" s="39" t="s">
        <v>23</v>
      </c>
      <c r="J291" s="11">
        <v>2015</v>
      </c>
      <c r="K291" s="35">
        <f>0.08*24*30</f>
        <v>57.599999999999994</v>
      </c>
      <c r="L291" s="11"/>
      <c r="M291" s="11"/>
      <c r="N291" s="11"/>
      <c r="O291" s="11"/>
      <c r="P291" s="11">
        <v>1</v>
      </c>
      <c r="Q291" s="11"/>
      <c r="R291" s="12"/>
      <c r="S291" s="12"/>
      <c r="T291" s="54">
        <v>89</v>
      </c>
      <c r="U291" s="12"/>
      <c r="V291" s="12"/>
      <c r="W291" s="12"/>
      <c r="X291" s="12"/>
      <c r="Y291" s="12"/>
      <c r="Z291" s="12"/>
      <c r="AA291" s="12"/>
      <c r="AB291" s="12"/>
      <c r="AC291" s="12"/>
    </row>
    <row r="292" spans="1:35" x14ac:dyDescent="0.2">
      <c r="A292" s="9">
        <v>9</v>
      </c>
      <c r="B292" s="40" t="s">
        <v>23</v>
      </c>
      <c r="C292" s="9">
        <v>2015</v>
      </c>
      <c r="D292" s="10" t="s">
        <v>12</v>
      </c>
      <c r="E292" s="10" t="s">
        <v>58</v>
      </c>
      <c r="F292" s="10"/>
      <c r="G292" s="10"/>
      <c r="H292" s="9"/>
      <c r="I292" s="40" t="s">
        <v>24</v>
      </c>
      <c r="J292" s="9">
        <v>2015</v>
      </c>
      <c r="K292" s="34">
        <f>1.06*24*31</f>
        <v>788.64</v>
      </c>
      <c r="L292" s="9"/>
      <c r="M292" s="9"/>
      <c r="N292" s="9">
        <v>23</v>
      </c>
      <c r="O292" s="9"/>
      <c r="P292" s="9">
        <v>2</v>
      </c>
      <c r="Q292" s="9"/>
      <c r="R292" s="10"/>
      <c r="S292" s="10"/>
      <c r="T292" s="55"/>
      <c r="U292" s="10"/>
      <c r="V292" s="10"/>
      <c r="W292" s="10"/>
      <c r="X292" s="10"/>
      <c r="Y292" s="10"/>
      <c r="Z292" s="10"/>
      <c r="AA292" s="10"/>
      <c r="AB292" s="10"/>
      <c r="AC292" s="10"/>
      <c r="AG292" s="61"/>
    </row>
    <row r="293" spans="1:35" x14ac:dyDescent="0.2">
      <c r="A293" s="9">
        <v>9</v>
      </c>
      <c r="B293" s="40" t="s">
        <v>23</v>
      </c>
      <c r="C293" s="9">
        <v>2015</v>
      </c>
      <c r="D293" s="10" t="s">
        <v>15</v>
      </c>
      <c r="E293" s="10" t="s">
        <v>59</v>
      </c>
      <c r="F293" s="10"/>
      <c r="G293" s="10"/>
      <c r="H293" s="9"/>
      <c r="I293" s="40" t="s">
        <v>24</v>
      </c>
      <c r="J293" s="9">
        <v>2015</v>
      </c>
      <c r="K293" s="34">
        <f>0.18*24*31</f>
        <v>133.92000000000002</v>
      </c>
      <c r="L293" s="9"/>
      <c r="M293" s="9"/>
      <c r="N293" s="9"/>
      <c r="O293" s="9"/>
      <c r="P293" s="9">
        <v>40</v>
      </c>
      <c r="Q293" s="9"/>
      <c r="R293" s="10"/>
      <c r="S293" s="10"/>
      <c r="T293" s="55">
        <v>50</v>
      </c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35" x14ac:dyDescent="0.2">
      <c r="A294" s="11">
        <v>5</v>
      </c>
      <c r="B294" s="39" t="s">
        <v>24</v>
      </c>
      <c r="C294" s="11">
        <v>2015</v>
      </c>
      <c r="D294" s="12" t="s">
        <v>12</v>
      </c>
      <c r="E294" s="12" t="s">
        <v>58</v>
      </c>
      <c r="F294" s="12"/>
      <c r="G294" s="12"/>
      <c r="H294" s="11"/>
      <c r="I294" s="39" t="s">
        <v>25</v>
      </c>
      <c r="J294" s="11">
        <v>2015</v>
      </c>
      <c r="K294" s="35">
        <f>1.1*24*30</f>
        <v>792.00000000000011</v>
      </c>
      <c r="L294" s="11"/>
      <c r="M294" s="11"/>
      <c r="N294" s="11">
        <v>24</v>
      </c>
      <c r="O294" s="11">
        <v>1</v>
      </c>
      <c r="P294" s="11"/>
      <c r="Q294" s="11"/>
      <c r="R294" s="12"/>
      <c r="S294" s="12"/>
      <c r="T294" s="54"/>
      <c r="U294" s="12"/>
      <c r="V294" s="12"/>
      <c r="W294" s="12"/>
      <c r="X294" s="12"/>
      <c r="Y294" s="12"/>
      <c r="Z294" s="12"/>
      <c r="AA294" s="12"/>
      <c r="AB294" s="12"/>
      <c r="AC294" s="12"/>
    </row>
    <row r="295" spans="1:35" x14ac:dyDescent="0.2">
      <c r="A295" s="11">
        <v>5</v>
      </c>
      <c r="B295" s="39" t="s">
        <v>24</v>
      </c>
      <c r="C295" s="11">
        <v>2015</v>
      </c>
      <c r="D295" s="12" t="s">
        <v>15</v>
      </c>
      <c r="E295" s="12" t="s">
        <v>59</v>
      </c>
      <c r="F295" s="12"/>
      <c r="G295" s="12"/>
      <c r="H295" s="11"/>
      <c r="I295" s="39" t="s">
        <v>25</v>
      </c>
      <c r="J295" s="11">
        <v>2015</v>
      </c>
      <c r="K295" s="35">
        <f>0.27*24*30</f>
        <v>194.4</v>
      </c>
      <c r="L295" s="11"/>
      <c r="M295" s="11"/>
      <c r="N295" s="11"/>
      <c r="O295" s="11"/>
      <c r="P295" s="11">
        <v>40</v>
      </c>
      <c r="Q295" s="11"/>
      <c r="R295" s="12"/>
      <c r="S295" s="12"/>
      <c r="T295" s="54">
        <v>50</v>
      </c>
      <c r="U295" s="12"/>
      <c r="V295" s="12"/>
      <c r="W295" s="12"/>
      <c r="X295" s="12"/>
      <c r="Y295" s="12"/>
      <c r="Z295" s="12"/>
      <c r="AA295" s="12"/>
      <c r="AB295" s="12"/>
      <c r="AC295" s="12"/>
    </row>
    <row r="296" spans="1:35" x14ac:dyDescent="0.2">
      <c r="A296" s="9">
        <v>12</v>
      </c>
      <c r="B296" s="40" t="s">
        <v>24</v>
      </c>
      <c r="C296" s="9">
        <v>2015</v>
      </c>
      <c r="D296" s="10" t="s">
        <v>49</v>
      </c>
      <c r="E296" s="10" t="s">
        <v>58</v>
      </c>
      <c r="F296" s="10"/>
      <c r="G296" s="10"/>
      <c r="H296" s="9"/>
      <c r="I296" s="40" t="s">
        <v>26</v>
      </c>
      <c r="J296" s="9">
        <v>2015</v>
      </c>
      <c r="K296" s="34">
        <f>1.26*24*92/3</f>
        <v>927.36000000000013</v>
      </c>
      <c r="L296" s="9"/>
      <c r="M296" s="9"/>
      <c r="N296" s="9"/>
      <c r="O296" s="9">
        <v>15</v>
      </c>
      <c r="P296" s="9">
        <v>5</v>
      </c>
      <c r="Q296" s="9"/>
      <c r="R296" s="10"/>
      <c r="S296" s="10"/>
      <c r="T296" s="55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35" x14ac:dyDescent="0.2">
      <c r="A297" s="9">
        <v>12</v>
      </c>
      <c r="B297" s="40" t="s">
        <v>24</v>
      </c>
      <c r="C297" s="9">
        <v>2015</v>
      </c>
      <c r="D297" s="10" t="s">
        <v>65</v>
      </c>
      <c r="E297" s="10" t="s">
        <v>59</v>
      </c>
      <c r="F297" s="10"/>
      <c r="G297" s="10"/>
      <c r="H297" s="9"/>
      <c r="I297" s="40" t="s">
        <v>26</v>
      </c>
      <c r="J297" s="9">
        <v>2015</v>
      </c>
      <c r="K297" s="34">
        <f>0.23*24*92/3</f>
        <v>169.28</v>
      </c>
      <c r="L297" s="9">
        <v>3</v>
      </c>
      <c r="M297" s="9"/>
      <c r="N297" s="9"/>
      <c r="O297" s="9"/>
      <c r="P297" s="9"/>
      <c r="Q297" s="9"/>
      <c r="R297" s="10"/>
      <c r="S297" s="10"/>
      <c r="T297" s="55">
        <v>12</v>
      </c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35" x14ac:dyDescent="0.2">
      <c r="A298" s="11">
        <v>11</v>
      </c>
      <c r="B298" s="39" t="s">
        <v>25</v>
      </c>
      <c r="C298" s="11">
        <v>2015</v>
      </c>
      <c r="D298" s="12" t="s">
        <v>12</v>
      </c>
      <c r="E298" s="12" t="s">
        <v>58</v>
      </c>
      <c r="F298" s="12"/>
      <c r="G298" s="12"/>
      <c r="H298" s="11"/>
      <c r="I298" s="39" t="s">
        <v>26</v>
      </c>
      <c r="J298" s="11">
        <v>2015</v>
      </c>
      <c r="K298" s="35">
        <f>0.94*24*31</f>
        <v>699.36</v>
      </c>
      <c r="L298" s="11"/>
      <c r="M298" s="11"/>
      <c r="N298" s="11"/>
      <c r="O298" s="11">
        <v>17</v>
      </c>
      <c r="P298" s="11">
        <v>8</v>
      </c>
      <c r="Q298" s="11"/>
      <c r="R298" s="12"/>
      <c r="S298" s="12"/>
      <c r="T298" s="54"/>
      <c r="U298" s="12"/>
      <c r="V298" s="12"/>
      <c r="W298" s="12"/>
      <c r="X298" s="12"/>
      <c r="Y298" s="12"/>
      <c r="Z298" s="12"/>
      <c r="AA298" s="12"/>
      <c r="AB298" s="12"/>
      <c r="AC298" s="12"/>
    </row>
    <row r="299" spans="1:35" x14ac:dyDescent="0.2">
      <c r="A299" s="11">
        <v>11</v>
      </c>
      <c r="B299" s="39" t="s">
        <v>25</v>
      </c>
      <c r="C299" s="11">
        <v>2015</v>
      </c>
      <c r="D299" s="12" t="s">
        <v>15</v>
      </c>
      <c r="E299" s="12" t="s">
        <v>59</v>
      </c>
      <c r="F299" s="12"/>
      <c r="G299" s="12"/>
      <c r="H299" s="11"/>
      <c r="I299" s="39" t="s">
        <v>26</v>
      </c>
      <c r="J299" s="11">
        <v>2015</v>
      </c>
      <c r="K299" s="35">
        <f>0.31*24*30</f>
        <v>223.2</v>
      </c>
      <c r="L299" s="11"/>
      <c r="M299" s="11"/>
      <c r="N299" s="11"/>
      <c r="O299" s="11"/>
      <c r="P299" s="11">
        <v>13</v>
      </c>
      <c r="Q299" s="11"/>
      <c r="R299" s="12"/>
      <c r="S299" s="12"/>
      <c r="T299" s="54">
        <v>70</v>
      </c>
      <c r="U299" s="12"/>
      <c r="V299" s="12">
        <v>6</v>
      </c>
      <c r="W299" s="12"/>
      <c r="X299" s="12"/>
      <c r="Y299" s="12"/>
      <c r="Z299" s="12"/>
      <c r="AA299" s="12"/>
      <c r="AB299" s="12"/>
      <c r="AC299" s="12"/>
    </row>
    <row r="300" spans="1:35" x14ac:dyDescent="0.2">
      <c r="A300" s="9">
        <v>16</v>
      </c>
      <c r="B300" s="40" t="s">
        <v>25</v>
      </c>
      <c r="C300" s="9">
        <v>2015</v>
      </c>
      <c r="D300" s="10" t="s">
        <v>6</v>
      </c>
      <c r="E300" s="10" t="s">
        <v>58</v>
      </c>
      <c r="F300" s="10"/>
      <c r="G300" s="10"/>
      <c r="H300" s="9"/>
      <c r="I300" s="40" t="s">
        <v>29</v>
      </c>
      <c r="J300" s="9">
        <v>2015</v>
      </c>
      <c r="K300" s="34">
        <f>2.11*24*365/12</f>
        <v>1540.3</v>
      </c>
      <c r="L300" s="9"/>
      <c r="M300" s="9"/>
      <c r="N300" s="9">
        <v>10</v>
      </c>
      <c r="O300" s="9">
        <v>20</v>
      </c>
      <c r="P300" s="9"/>
      <c r="Q300" s="9"/>
      <c r="R300" s="10"/>
      <c r="S300" s="10"/>
      <c r="T300" s="55">
        <v>3</v>
      </c>
      <c r="U300" s="10"/>
      <c r="V300" s="10">
        <v>7</v>
      </c>
      <c r="W300" s="10"/>
      <c r="X300" s="10"/>
      <c r="Y300" s="10"/>
      <c r="Z300" s="10"/>
      <c r="AA300" s="10"/>
      <c r="AB300" s="10"/>
      <c r="AC300" s="10"/>
    </row>
    <row r="301" spans="1:35" x14ac:dyDescent="0.2">
      <c r="A301" s="9">
        <v>16</v>
      </c>
      <c r="B301" s="40" t="s">
        <v>25</v>
      </c>
      <c r="C301" s="9">
        <v>2015</v>
      </c>
      <c r="D301" s="10" t="s">
        <v>14</v>
      </c>
      <c r="E301" s="10" t="s">
        <v>59</v>
      </c>
      <c r="F301" s="10"/>
      <c r="G301" s="10"/>
      <c r="H301" s="9"/>
      <c r="I301" s="40" t="s">
        <v>29</v>
      </c>
      <c r="J301" s="9">
        <v>2015</v>
      </c>
      <c r="K301" s="34">
        <f>0.17*24*365/12</f>
        <v>124.10000000000001</v>
      </c>
      <c r="L301" s="9"/>
      <c r="M301" s="9"/>
      <c r="N301" s="9"/>
      <c r="O301" s="9"/>
      <c r="P301" s="9">
        <v>21</v>
      </c>
      <c r="Q301" s="9"/>
      <c r="R301" s="10"/>
      <c r="S301" s="10"/>
      <c r="T301" s="55">
        <v>9</v>
      </c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35" x14ac:dyDescent="0.2">
      <c r="A302" s="11">
        <v>7</v>
      </c>
      <c r="B302" s="39" t="s">
        <v>26</v>
      </c>
      <c r="C302" s="11">
        <v>2015</v>
      </c>
      <c r="D302" s="12" t="s">
        <v>12</v>
      </c>
      <c r="E302" s="12" t="s">
        <v>58</v>
      </c>
      <c r="F302" s="12"/>
      <c r="G302" s="12"/>
      <c r="H302" s="11"/>
      <c r="I302" s="39" t="s">
        <v>27</v>
      </c>
      <c r="J302" s="11">
        <v>2015</v>
      </c>
      <c r="K302" s="35">
        <f>1.76*24*31</f>
        <v>1309.44</v>
      </c>
      <c r="L302" s="11"/>
      <c r="M302" s="11"/>
      <c r="N302" s="11"/>
      <c r="O302" s="11">
        <v>25</v>
      </c>
      <c r="P302" s="11"/>
      <c r="Q302" s="11"/>
      <c r="R302" s="12"/>
      <c r="S302" s="12"/>
      <c r="T302" s="54"/>
      <c r="U302" s="12"/>
      <c r="V302" s="12"/>
      <c r="W302" s="12"/>
      <c r="X302" s="12"/>
      <c r="Y302" s="12"/>
      <c r="Z302" s="12"/>
      <c r="AA302" s="12"/>
      <c r="AB302" s="12"/>
      <c r="AC302" s="12"/>
    </row>
    <row r="303" spans="1:35" x14ac:dyDescent="0.2">
      <c r="A303" s="11">
        <v>7</v>
      </c>
      <c r="B303" s="39" t="s">
        <v>26</v>
      </c>
      <c r="C303" s="11">
        <v>2015</v>
      </c>
      <c r="D303" s="12" t="s">
        <v>15</v>
      </c>
      <c r="E303" s="12" t="s">
        <v>59</v>
      </c>
      <c r="F303" s="12"/>
      <c r="G303" s="12"/>
      <c r="H303" s="11"/>
      <c r="I303" s="39" t="s">
        <v>27</v>
      </c>
      <c r="J303" s="11">
        <v>2015</v>
      </c>
      <c r="K303" s="35">
        <f>0.56*24*30</f>
        <v>403.20000000000005</v>
      </c>
      <c r="L303" s="11"/>
      <c r="M303" s="11"/>
      <c r="N303" s="11"/>
      <c r="O303" s="11"/>
      <c r="P303" s="11">
        <v>27</v>
      </c>
      <c r="Q303" s="11"/>
      <c r="R303" s="12"/>
      <c r="S303" s="12"/>
      <c r="T303" s="54">
        <v>63</v>
      </c>
      <c r="U303" s="12"/>
      <c r="V303" s="12"/>
      <c r="W303" s="12"/>
      <c r="X303" s="12"/>
      <c r="Y303" s="12"/>
      <c r="Z303" s="12"/>
      <c r="AA303" s="12"/>
      <c r="AB303" s="12"/>
      <c r="AC303" s="12"/>
    </row>
    <row r="304" spans="1:35" x14ac:dyDescent="0.2">
      <c r="A304" s="9">
        <v>21</v>
      </c>
      <c r="B304" s="40" t="s">
        <v>26</v>
      </c>
      <c r="C304" s="9">
        <v>2015</v>
      </c>
      <c r="D304" s="10" t="s">
        <v>6</v>
      </c>
      <c r="E304" s="10" t="s">
        <v>58</v>
      </c>
      <c r="F304" s="10"/>
      <c r="G304" s="10"/>
      <c r="H304" s="9"/>
      <c r="I304" s="40" t="s">
        <v>29</v>
      </c>
      <c r="J304" s="9">
        <v>2015</v>
      </c>
      <c r="K304" s="34">
        <f>1.96*24*365/12</f>
        <v>1430.8</v>
      </c>
      <c r="L304" s="9"/>
      <c r="M304" s="9"/>
      <c r="N304" s="9">
        <v>20</v>
      </c>
      <c r="O304" s="9">
        <v>20</v>
      </c>
      <c r="P304" s="9">
        <v>5</v>
      </c>
      <c r="Q304" s="9"/>
      <c r="R304" s="10"/>
      <c r="S304" s="10"/>
      <c r="T304" s="55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x14ac:dyDescent="0.2">
      <c r="A305" s="9">
        <v>21</v>
      </c>
      <c r="B305" s="40" t="s">
        <v>26</v>
      </c>
      <c r="C305" s="9">
        <v>2015</v>
      </c>
      <c r="D305" s="10" t="s">
        <v>14</v>
      </c>
      <c r="E305" s="10" t="s">
        <v>59</v>
      </c>
      <c r="F305" s="10"/>
      <c r="G305" s="10"/>
      <c r="H305" s="9"/>
      <c r="I305" s="40" t="s">
        <v>29</v>
      </c>
      <c r="J305" s="9">
        <v>2015</v>
      </c>
      <c r="K305" s="34">
        <f>0.37*24*365/12</f>
        <v>270.09999999999997</v>
      </c>
      <c r="L305" s="9"/>
      <c r="M305" s="9"/>
      <c r="N305" s="9"/>
      <c r="O305" s="9"/>
      <c r="P305" s="9">
        <v>21</v>
      </c>
      <c r="Q305" s="9"/>
      <c r="R305" s="10"/>
      <c r="S305" s="10"/>
      <c r="T305" s="55">
        <v>9</v>
      </c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x14ac:dyDescent="0.2">
      <c r="A306" s="11">
        <v>10</v>
      </c>
      <c r="B306" s="39" t="s">
        <v>27</v>
      </c>
      <c r="C306" s="11">
        <v>2015</v>
      </c>
      <c r="D306" s="12" t="s">
        <v>6</v>
      </c>
      <c r="E306" s="12" t="s">
        <v>58</v>
      </c>
      <c r="F306" s="12"/>
      <c r="G306" s="12"/>
      <c r="H306" s="11"/>
      <c r="I306" s="39" t="s">
        <v>29</v>
      </c>
      <c r="J306" s="11">
        <v>2015</v>
      </c>
      <c r="K306" s="35">
        <f>2.24*24*365/12</f>
        <v>1635.2</v>
      </c>
      <c r="L306" s="11"/>
      <c r="M306" s="11"/>
      <c r="N306" s="11"/>
      <c r="O306" s="11">
        <v>50</v>
      </c>
      <c r="P306" s="11"/>
      <c r="Q306" s="11"/>
      <c r="R306" s="12"/>
      <c r="S306" s="12"/>
      <c r="T306" s="54"/>
      <c r="U306" s="12"/>
      <c r="V306" s="12"/>
      <c r="W306" s="12"/>
      <c r="X306" s="12"/>
      <c r="Y306" s="12"/>
      <c r="Z306" s="12"/>
      <c r="AA306" s="12"/>
      <c r="AB306" s="12"/>
      <c r="AC306" s="12"/>
    </row>
    <row r="307" spans="1:29" x14ac:dyDescent="0.2">
      <c r="A307" s="11">
        <v>10</v>
      </c>
      <c r="B307" s="39" t="s">
        <v>27</v>
      </c>
      <c r="C307" s="11">
        <v>2015</v>
      </c>
      <c r="D307" s="12" t="s">
        <v>14</v>
      </c>
      <c r="E307" s="12" t="s">
        <v>59</v>
      </c>
      <c r="F307" s="12"/>
      <c r="G307" s="12"/>
      <c r="H307" s="11"/>
      <c r="I307" s="39" t="s">
        <v>29</v>
      </c>
      <c r="J307" s="11">
        <v>2015</v>
      </c>
      <c r="K307" s="35">
        <f>0.33*24*365/12</f>
        <v>240.9</v>
      </c>
      <c r="L307" s="11">
        <v>11</v>
      </c>
      <c r="M307" s="11"/>
      <c r="N307" s="11"/>
      <c r="O307" s="11"/>
      <c r="P307" s="11"/>
      <c r="Q307" s="11"/>
      <c r="R307" s="12"/>
      <c r="S307" s="12"/>
      <c r="T307" s="54">
        <v>10</v>
      </c>
      <c r="U307" s="12"/>
      <c r="V307" s="12">
        <v>9</v>
      </c>
      <c r="W307" s="12"/>
      <c r="X307" s="12"/>
      <c r="Y307" s="12"/>
      <c r="Z307" s="12"/>
      <c r="AA307" s="12"/>
      <c r="AB307" s="12"/>
      <c r="AC307" s="12"/>
    </row>
    <row r="308" spans="1:29" x14ac:dyDescent="0.2">
      <c r="A308" s="9">
        <v>12</v>
      </c>
      <c r="B308" s="40" t="s">
        <v>27</v>
      </c>
      <c r="C308" s="9">
        <v>2015</v>
      </c>
      <c r="D308" s="10" t="s">
        <v>48</v>
      </c>
      <c r="E308" s="10" t="s">
        <v>58</v>
      </c>
      <c r="F308" s="10"/>
      <c r="G308" s="10"/>
      <c r="H308" s="9"/>
      <c r="I308" s="40" t="s">
        <v>29</v>
      </c>
      <c r="J308" s="9">
        <v>2015</v>
      </c>
      <c r="K308" s="34">
        <f>2.09*24*182/6</f>
        <v>1521.5199999999998</v>
      </c>
      <c r="L308" s="9"/>
      <c r="M308" s="9"/>
      <c r="N308" s="9">
        <v>10</v>
      </c>
      <c r="O308" s="9">
        <v>5</v>
      </c>
      <c r="P308" s="9">
        <v>2</v>
      </c>
      <c r="Q308" s="9"/>
      <c r="R308" s="10"/>
      <c r="S308" s="10"/>
      <c r="T308" s="55">
        <v>10</v>
      </c>
      <c r="U308" s="10"/>
      <c r="V308" s="10">
        <v>3</v>
      </c>
      <c r="W308" s="10"/>
      <c r="X308" s="10"/>
      <c r="Y308" s="10"/>
      <c r="Z308" s="10"/>
      <c r="AA308" s="10"/>
      <c r="AB308" s="10"/>
      <c r="AC308" s="10"/>
    </row>
    <row r="309" spans="1:29" x14ac:dyDescent="0.2">
      <c r="A309" s="9">
        <v>12</v>
      </c>
      <c r="B309" s="40" t="s">
        <v>27</v>
      </c>
      <c r="C309" s="9">
        <v>2015</v>
      </c>
      <c r="D309" s="10" t="s">
        <v>66</v>
      </c>
      <c r="E309" s="10" t="s">
        <v>59</v>
      </c>
      <c r="F309" s="10"/>
      <c r="G309" s="10"/>
      <c r="H309" s="9"/>
      <c r="I309" s="40" t="s">
        <v>29</v>
      </c>
      <c r="J309" s="9">
        <v>2015</v>
      </c>
      <c r="K309" s="34">
        <f>0.12*24*182/6</f>
        <v>87.36</v>
      </c>
      <c r="L309" s="9">
        <v>8</v>
      </c>
      <c r="M309" s="9"/>
      <c r="N309" s="9"/>
      <c r="O309" s="9"/>
      <c r="P309" s="9">
        <v>12</v>
      </c>
      <c r="Q309" s="9"/>
      <c r="R309" s="10"/>
      <c r="S309" s="10"/>
      <c r="T309" s="55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x14ac:dyDescent="0.2">
      <c r="A310" s="11">
        <v>14</v>
      </c>
      <c r="B310" s="39" t="s">
        <v>27</v>
      </c>
      <c r="C310" s="11">
        <v>2015</v>
      </c>
      <c r="D310" s="12" t="s">
        <v>12</v>
      </c>
      <c r="E310" s="12" t="s">
        <v>58</v>
      </c>
      <c r="F310" s="12"/>
      <c r="G310" s="12"/>
      <c r="H310" s="11"/>
      <c r="I310" s="39" t="s">
        <v>28</v>
      </c>
      <c r="J310" s="11">
        <v>2015</v>
      </c>
      <c r="K310" s="35">
        <f>1.74*24*31</f>
        <v>1294.56</v>
      </c>
      <c r="L310" s="11"/>
      <c r="M310" s="11"/>
      <c r="N310" s="11">
        <v>15</v>
      </c>
      <c r="O310" s="11">
        <v>10</v>
      </c>
      <c r="P310" s="11"/>
      <c r="Q310" s="11"/>
      <c r="R310" s="12"/>
      <c r="S310" s="12"/>
      <c r="T310" s="54"/>
      <c r="U310" s="12"/>
      <c r="V310" s="12"/>
      <c r="W310" s="12"/>
      <c r="X310" s="12"/>
      <c r="Y310" s="12"/>
      <c r="Z310" s="12"/>
      <c r="AA310" s="12"/>
      <c r="AB310" s="12"/>
      <c r="AC310" s="12"/>
    </row>
    <row r="311" spans="1:29" x14ac:dyDescent="0.2">
      <c r="A311" s="11">
        <v>14</v>
      </c>
      <c r="B311" s="39" t="s">
        <v>27</v>
      </c>
      <c r="C311" s="11">
        <v>2015</v>
      </c>
      <c r="D311" s="12" t="s">
        <v>15</v>
      </c>
      <c r="E311" s="12" t="s">
        <v>59</v>
      </c>
      <c r="F311" s="12"/>
      <c r="G311" s="12"/>
      <c r="H311" s="11"/>
      <c r="I311" s="39" t="s">
        <v>28</v>
      </c>
      <c r="J311" s="11">
        <v>2015</v>
      </c>
      <c r="K311" s="35">
        <f>0.28*24*31</f>
        <v>208.32000000000002</v>
      </c>
      <c r="L311" s="11"/>
      <c r="M311" s="11"/>
      <c r="N311" s="11"/>
      <c r="O311" s="11"/>
      <c r="P311" s="11"/>
      <c r="Q311" s="11"/>
      <c r="R311" s="12"/>
      <c r="S311" s="12"/>
      <c r="T311" s="54">
        <v>100</v>
      </c>
      <c r="U311" s="12"/>
      <c r="V311" s="12"/>
      <c r="W311" s="12"/>
      <c r="X311" s="12">
        <v>1</v>
      </c>
      <c r="Y311" s="12"/>
      <c r="Z311" s="12"/>
      <c r="AA311" s="12"/>
      <c r="AB311" s="12"/>
      <c r="AC311" s="12"/>
    </row>
    <row r="312" spans="1:29" x14ac:dyDescent="0.2">
      <c r="A312" s="9">
        <v>18</v>
      </c>
      <c r="B312" s="40" t="s">
        <v>27</v>
      </c>
      <c r="C312" s="9">
        <v>2015</v>
      </c>
      <c r="D312" s="10" t="s">
        <v>49</v>
      </c>
      <c r="E312" s="10" t="s">
        <v>58</v>
      </c>
      <c r="F312" s="10"/>
      <c r="G312" s="10"/>
      <c r="H312" s="9"/>
      <c r="I312" s="40" t="s">
        <v>29</v>
      </c>
      <c r="J312" s="9">
        <v>2015</v>
      </c>
      <c r="K312" s="34">
        <f>2.16*24*92/3</f>
        <v>1589.7600000000002</v>
      </c>
      <c r="L312" s="9"/>
      <c r="M312" s="9"/>
      <c r="N312" s="9">
        <v>37</v>
      </c>
      <c r="O312" s="9">
        <v>5</v>
      </c>
      <c r="P312" s="9"/>
      <c r="Q312" s="9"/>
      <c r="R312" s="10"/>
      <c r="S312" s="10"/>
      <c r="T312" s="55">
        <v>10</v>
      </c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x14ac:dyDescent="0.2">
      <c r="A313" s="9">
        <v>18</v>
      </c>
      <c r="B313" s="40" t="s">
        <v>27</v>
      </c>
      <c r="C313" s="9">
        <v>2015</v>
      </c>
      <c r="D313" s="10" t="s">
        <v>65</v>
      </c>
      <c r="E313" s="10" t="s">
        <v>59</v>
      </c>
      <c r="F313" s="10"/>
      <c r="G313" s="10"/>
      <c r="H313" s="9"/>
      <c r="I313" s="40" t="s">
        <v>29</v>
      </c>
      <c r="J313" s="9">
        <v>2015</v>
      </c>
      <c r="K313" s="34">
        <f>0.95*24*92/3</f>
        <v>699.19999999999993</v>
      </c>
      <c r="L313" s="9">
        <v>4</v>
      </c>
      <c r="M313" s="9"/>
      <c r="N313" s="9"/>
      <c r="O313" s="9"/>
      <c r="P313" s="9">
        <v>5</v>
      </c>
      <c r="Q313" s="9"/>
      <c r="R313" s="10"/>
      <c r="S313" s="10"/>
      <c r="T313" s="55">
        <v>15</v>
      </c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x14ac:dyDescent="0.2">
      <c r="A314" s="11">
        <v>7</v>
      </c>
      <c r="B314" s="39" t="s">
        <v>28</v>
      </c>
      <c r="C314" s="11">
        <v>2015</v>
      </c>
      <c r="D314" s="12" t="s">
        <v>12</v>
      </c>
      <c r="E314" s="12" t="s">
        <v>58</v>
      </c>
      <c r="F314" s="12"/>
      <c r="G314" s="12"/>
      <c r="H314" s="11"/>
      <c r="I314" s="39" t="s">
        <v>29</v>
      </c>
      <c r="J314" s="11">
        <v>2015</v>
      </c>
      <c r="K314" s="35">
        <f>2.23*24*30</f>
        <v>1605.6</v>
      </c>
      <c r="L314" s="11"/>
      <c r="M314" s="11"/>
      <c r="N314" s="11"/>
      <c r="O314" s="11">
        <v>40</v>
      </c>
      <c r="P314" s="11"/>
      <c r="Q314" s="11"/>
      <c r="R314" s="12"/>
      <c r="S314" s="12"/>
      <c r="T314" s="54"/>
      <c r="U314" s="12"/>
      <c r="V314" s="12"/>
      <c r="W314" s="12"/>
      <c r="X314" s="12"/>
      <c r="Y314" s="12"/>
      <c r="Z314" s="12"/>
      <c r="AA314" s="12"/>
      <c r="AB314" s="12"/>
      <c r="AC314" s="12"/>
    </row>
    <row r="315" spans="1:29" x14ac:dyDescent="0.2">
      <c r="A315" s="11">
        <v>7</v>
      </c>
      <c r="B315" s="39" t="s">
        <v>28</v>
      </c>
      <c r="C315" s="11">
        <v>2015</v>
      </c>
      <c r="D315" s="12" t="s">
        <v>15</v>
      </c>
      <c r="E315" s="12" t="s">
        <v>59</v>
      </c>
      <c r="F315" s="12"/>
      <c r="G315" s="12"/>
      <c r="H315" s="11"/>
      <c r="I315" s="39" t="s">
        <v>29</v>
      </c>
      <c r="J315" s="11">
        <v>2015</v>
      </c>
      <c r="K315" s="35">
        <f>0.95*24*30</f>
        <v>683.99999999999989</v>
      </c>
      <c r="L315" s="11">
        <v>5</v>
      </c>
      <c r="M315" s="11"/>
      <c r="N315" s="11"/>
      <c r="O315" s="11"/>
      <c r="P315" s="11">
        <v>25</v>
      </c>
      <c r="Q315" s="11"/>
      <c r="R315" s="12"/>
      <c r="S315" s="12"/>
      <c r="T315" s="54">
        <v>30</v>
      </c>
      <c r="U315" s="12"/>
      <c r="V315" s="12"/>
      <c r="W315" s="12"/>
      <c r="X315" s="12"/>
      <c r="Y315" s="12"/>
      <c r="Z315" s="12"/>
      <c r="AA315" s="12"/>
      <c r="AB315" s="12"/>
      <c r="AC315" s="12"/>
    </row>
    <row r="316" spans="1:29" x14ac:dyDescent="0.2">
      <c r="A316" s="9">
        <v>7</v>
      </c>
      <c r="B316" s="40" t="s">
        <v>29</v>
      </c>
      <c r="C316" s="9">
        <v>2015</v>
      </c>
      <c r="D316" s="10" t="s">
        <v>12</v>
      </c>
      <c r="E316" s="10" t="s">
        <v>58</v>
      </c>
      <c r="F316" s="10"/>
      <c r="G316" s="10"/>
      <c r="H316" s="9"/>
      <c r="I316" s="40" t="s">
        <v>30</v>
      </c>
      <c r="J316" s="9">
        <v>2015</v>
      </c>
      <c r="K316" s="34">
        <f>2.27*24*30</f>
        <v>1634.4</v>
      </c>
      <c r="L316" s="9"/>
      <c r="M316" s="9"/>
      <c r="N316" s="9">
        <v>35</v>
      </c>
      <c r="O316" s="9"/>
      <c r="P316" s="9">
        <v>5</v>
      </c>
      <c r="Q316" s="9"/>
      <c r="R316" s="10"/>
      <c r="S316" s="10"/>
      <c r="T316" s="55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x14ac:dyDescent="0.2">
      <c r="A317" s="9">
        <v>7</v>
      </c>
      <c r="B317" s="40" t="s">
        <v>29</v>
      </c>
      <c r="C317" s="9">
        <v>2015</v>
      </c>
      <c r="D317" s="10" t="s">
        <v>15</v>
      </c>
      <c r="E317" s="10" t="s">
        <v>59</v>
      </c>
      <c r="F317" s="10"/>
      <c r="G317" s="10"/>
      <c r="H317" s="9"/>
      <c r="I317" s="40" t="s">
        <v>30</v>
      </c>
      <c r="J317" s="9">
        <v>2015</v>
      </c>
      <c r="K317" s="34">
        <f>1.25*24*30</f>
        <v>900</v>
      </c>
      <c r="L317" s="9">
        <v>27</v>
      </c>
      <c r="M317" s="9"/>
      <c r="N317" s="9"/>
      <c r="O317" s="9"/>
      <c r="P317" s="9">
        <v>10</v>
      </c>
      <c r="Q317" s="9"/>
      <c r="R317" s="10"/>
      <c r="S317" s="10"/>
      <c r="T317" s="55">
        <v>20</v>
      </c>
      <c r="U317" s="10"/>
      <c r="V317" s="10"/>
      <c r="W317" s="10"/>
      <c r="X317" s="10"/>
      <c r="Y317" s="10">
        <v>2</v>
      </c>
      <c r="Z317" s="10"/>
      <c r="AA317" s="10"/>
      <c r="AB317" s="10"/>
      <c r="AC317" s="10"/>
    </row>
    <row r="318" spans="1:29" x14ac:dyDescent="0.2">
      <c r="A318" s="11">
        <v>10</v>
      </c>
      <c r="B318" s="39" t="s">
        <v>30</v>
      </c>
      <c r="C318" s="11">
        <v>2015</v>
      </c>
      <c r="D318" s="12" t="s">
        <v>12</v>
      </c>
      <c r="E318" s="12" t="s">
        <v>58</v>
      </c>
      <c r="F318" s="12"/>
      <c r="G318" s="12"/>
      <c r="H318" s="11"/>
      <c r="I318" s="39" t="s">
        <v>31</v>
      </c>
      <c r="J318" s="11">
        <v>2015</v>
      </c>
      <c r="K318" s="35">
        <f>2.68*24*31</f>
        <v>1993.9200000000003</v>
      </c>
      <c r="L318" s="11"/>
      <c r="M318" s="11"/>
      <c r="N318" s="11">
        <v>30</v>
      </c>
      <c r="O318" s="11"/>
      <c r="P318" s="11">
        <v>10</v>
      </c>
      <c r="Q318" s="11"/>
      <c r="R318" s="12"/>
      <c r="S318" s="12"/>
      <c r="T318" s="54"/>
      <c r="U318" s="12"/>
      <c r="V318" s="12"/>
      <c r="W318" s="12"/>
      <c r="X318" s="12"/>
      <c r="Y318" s="12"/>
      <c r="Z318" s="12"/>
      <c r="AA318" s="12"/>
      <c r="AB318" s="12"/>
      <c r="AC318" s="12"/>
    </row>
    <row r="319" spans="1:29" x14ac:dyDescent="0.2">
      <c r="A319" s="11">
        <v>10</v>
      </c>
      <c r="B319" s="39" t="s">
        <v>30</v>
      </c>
      <c r="C319" s="11">
        <v>2015</v>
      </c>
      <c r="D319" s="12" t="s">
        <v>15</v>
      </c>
      <c r="E319" s="12" t="s">
        <v>59</v>
      </c>
      <c r="F319" s="12"/>
      <c r="G319" s="12"/>
      <c r="H319" s="11"/>
      <c r="I319" s="39" t="s">
        <v>31</v>
      </c>
      <c r="J319" s="11">
        <v>2015</v>
      </c>
      <c r="K319" s="35">
        <f>1.26*24*31</f>
        <v>937.44</v>
      </c>
      <c r="L319" s="11">
        <v>25</v>
      </c>
      <c r="M319" s="11"/>
      <c r="N319" s="11"/>
      <c r="O319" s="11"/>
      <c r="P319" s="11"/>
      <c r="Q319" s="11"/>
      <c r="R319" s="12"/>
      <c r="S319" s="12"/>
      <c r="T319" s="54">
        <v>7</v>
      </c>
      <c r="U319" s="12"/>
      <c r="V319" s="12">
        <v>17</v>
      </c>
      <c r="W319" s="12"/>
      <c r="X319" s="12"/>
      <c r="Y319" s="12">
        <v>10</v>
      </c>
      <c r="Z319" s="12"/>
      <c r="AA319" s="12"/>
      <c r="AB319" s="12"/>
      <c r="AC319" s="12"/>
    </row>
    <row r="320" spans="1:29" x14ac:dyDescent="0.2">
      <c r="A320" s="9">
        <v>17</v>
      </c>
      <c r="B320" s="40" t="s">
        <v>30</v>
      </c>
      <c r="C320" s="9">
        <v>2015</v>
      </c>
      <c r="D320" s="10" t="s">
        <v>49</v>
      </c>
      <c r="E320" s="10" t="s">
        <v>58</v>
      </c>
      <c r="F320" s="10"/>
      <c r="G320" s="10"/>
      <c r="H320" s="9"/>
      <c r="I320" s="40" t="s">
        <v>20</v>
      </c>
      <c r="J320" s="9">
        <v>2016</v>
      </c>
      <c r="K320" s="34">
        <f>1.76*24*91/3</f>
        <v>1281.28</v>
      </c>
      <c r="L320" s="9"/>
      <c r="M320" s="9"/>
      <c r="N320" s="9"/>
      <c r="O320" s="9">
        <v>37</v>
      </c>
      <c r="P320" s="9">
        <v>1</v>
      </c>
      <c r="Q320" s="9"/>
      <c r="R320" s="10"/>
      <c r="S320" s="10"/>
      <c r="T320" s="55">
        <v>14</v>
      </c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x14ac:dyDescent="0.2">
      <c r="A321" s="9">
        <v>17</v>
      </c>
      <c r="B321" s="40" t="s">
        <v>30</v>
      </c>
      <c r="C321" s="9">
        <v>2015</v>
      </c>
      <c r="D321" s="10" t="s">
        <v>65</v>
      </c>
      <c r="E321" s="10" t="s">
        <v>59</v>
      </c>
      <c r="F321" s="10"/>
      <c r="G321" s="10"/>
      <c r="H321" s="9"/>
      <c r="I321" s="40" t="s">
        <v>20</v>
      </c>
      <c r="J321" s="9">
        <v>2016</v>
      </c>
      <c r="K321" s="34">
        <f>1.04*24*91/3</f>
        <v>757.12</v>
      </c>
      <c r="L321" s="9"/>
      <c r="M321" s="9"/>
      <c r="N321" s="9"/>
      <c r="O321" s="9"/>
      <c r="P321" s="9"/>
      <c r="Q321" s="9"/>
      <c r="R321" s="10"/>
      <c r="S321" s="10"/>
      <c r="T321" s="55">
        <v>10</v>
      </c>
      <c r="U321" s="10"/>
      <c r="V321" s="10">
        <v>10</v>
      </c>
      <c r="W321" s="10"/>
      <c r="X321" s="10"/>
      <c r="Y321" s="10">
        <v>5</v>
      </c>
      <c r="Z321" s="10"/>
      <c r="AA321" s="10"/>
      <c r="AB321" s="10"/>
      <c r="AC321" s="10"/>
    </row>
    <row r="322" spans="1:29" x14ac:dyDescent="0.2">
      <c r="A322" s="11">
        <v>10</v>
      </c>
      <c r="B322" s="39" t="s">
        <v>31</v>
      </c>
      <c r="C322" s="11">
        <v>2015</v>
      </c>
      <c r="D322" s="12" t="s">
        <v>12</v>
      </c>
      <c r="E322" s="12" t="s">
        <v>58</v>
      </c>
      <c r="F322" s="12"/>
      <c r="G322" s="12"/>
      <c r="H322" s="11"/>
      <c r="I322" s="39" t="s">
        <v>20</v>
      </c>
      <c r="J322" s="11">
        <v>2016</v>
      </c>
      <c r="K322" s="35">
        <f>2.13*24*31</f>
        <v>1584.72</v>
      </c>
      <c r="L322" s="11"/>
      <c r="M322" s="11"/>
      <c r="N322" s="11">
        <v>20</v>
      </c>
      <c r="O322" s="11">
        <v>20</v>
      </c>
      <c r="P322" s="11">
        <v>10</v>
      </c>
      <c r="Q322" s="11"/>
      <c r="R322" s="12"/>
      <c r="S322" s="12"/>
      <c r="T322" s="54"/>
      <c r="U322" s="12"/>
      <c r="V322" s="12"/>
      <c r="W322" s="12"/>
      <c r="X322" s="12"/>
      <c r="Y322" s="12"/>
      <c r="Z322" s="12"/>
      <c r="AA322" s="12"/>
      <c r="AB322" s="12"/>
      <c r="AC322" s="12"/>
    </row>
    <row r="323" spans="1:29" x14ac:dyDescent="0.2">
      <c r="A323" s="11">
        <v>10</v>
      </c>
      <c r="B323" s="39" t="s">
        <v>31</v>
      </c>
      <c r="C323" s="11">
        <v>2015</v>
      </c>
      <c r="D323" s="12" t="s">
        <v>15</v>
      </c>
      <c r="E323" s="12" t="s">
        <v>59</v>
      </c>
      <c r="F323" s="12"/>
      <c r="G323" s="12"/>
      <c r="H323" s="11"/>
      <c r="I323" s="39" t="s">
        <v>20</v>
      </c>
      <c r="J323" s="11">
        <v>2016</v>
      </c>
      <c r="K323" s="35">
        <f>0.92*24*31</f>
        <v>684.48</v>
      </c>
      <c r="L323" s="11"/>
      <c r="M323" s="11"/>
      <c r="N323" s="11"/>
      <c r="O323" s="11"/>
      <c r="P323" s="11">
        <v>5</v>
      </c>
      <c r="Q323" s="11"/>
      <c r="R323" s="12"/>
      <c r="S323" s="12"/>
      <c r="T323" s="54">
        <v>16</v>
      </c>
      <c r="U323" s="12"/>
      <c r="V323" s="12">
        <v>39</v>
      </c>
      <c r="W323" s="12"/>
      <c r="X323" s="12"/>
      <c r="Y323" s="12"/>
      <c r="Z323" s="12"/>
      <c r="AA323" s="12"/>
      <c r="AB323" s="12"/>
      <c r="AC323" s="12"/>
    </row>
    <row r="324" spans="1:29" x14ac:dyDescent="0.2">
      <c r="A324" s="9">
        <v>14</v>
      </c>
      <c r="B324" s="40" t="s">
        <v>20</v>
      </c>
      <c r="C324" s="9">
        <v>2016</v>
      </c>
      <c r="D324" s="10" t="s">
        <v>12</v>
      </c>
      <c r="E324" s="10" t="s">
        <v>58</v>
      </c>
      <c r="F324" s="10"/>
      <c r="G324" s="10"/>
      <c r="H324" s="9"/>
      <c r="I324" s="40" t="s">
        <v>21</v>
      </c>
      <c r="J324" s="9">
        <v>2016</v>
      </c>
      <c r="K324" s="34">
        <f>1.75*24*29</f>
        <v>1218</v>
      </c>
      <c r="L324" s="9"/>
      <c r="M324" s="9"/>
      <c r="N324" s="9"/>
      <c r="O324" s="9">
        <v>34</v>
      </c>
      <c r="P324" s="9">
        <v>10</v>
      </c>
      <c r="Q324" s="9"/>
      <c r="R324" s="10"/>
      <c r="S324" s="10"/>
      <c r="T324" s="55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x14ac:dyDescent="0.2">
      <c r="A325" s="9">
        <v>14</v>
      </c>
      <c r="B325" s="40" t="s">
        <v>20</v>
      </c>
      <c r="C325" s="9">
        <v>2016</v>
      </c>
      <c r="D325" s="10" t="s">
        <v>15</v>
      </c>
      <c r="E325" s="10" t="s">
        <v>59</v>
      </c>
      <c r="F325" s="10"/>
      <c r="G325" s="10"/>
      <c r="H325" s="9"/>
      <c r="I325" s="40" t="s">
        <v>21</v>
      </c>
      <c r="J325" s="9">
        <v>2016</v>
      </c>
      <c r="K325" s="34">
        <f>0.66*24*29</f>
        <v>459.36</v>
      </c>
      <c r="L325" s="9"/>
      <c r="M325" s="9"/>
      <c r="N325" s="9"/>
      <c r="O325" s="9"/>
      <c r="P325" s="9">
        <v>16</v>
      </c>
      <c r="Q325" s="9"/>
      <c r="R325" s="10"/>
      <c r="S325" s="10"/>
      <c r="T325" s="55">
        <v>20</v>
      </c>
      <c r="U325" s="10"/>
      <c r="V325" s="10">
        <v>24</v>
      </c>
      <c r="W325" s="10"/>
      <c r="X325" s="10"/>
      <c r="Y325" s="10"/>
      <c r="Z325" s="10"/>
      <c r="AA325" s="10"/>
      <c r="AB325" s="10"/>
      <c r="AC325" s="10"/>
    </row>
    <row r="326" spans="1:29" x14ac:dyDescent="0.2">
      <c r="A326" s="11">
        <v>9</v>
      </c>
      <c r="B326" s="39" t="s">
        <v>21</v>
      </c>
      <c r="C326" s="11">
        <v>2016</v>
      </c>
      <c r="D326" s="12" t="s">
        <v>12</v>
      </c>
      <c r="E326" s="12" t="s">
        <v>58</v>
      </c>
      <c r="F326" s="12"/>
      <c r="G326" s="12"/>
      <c r="H326" s="11"/>
      <c r="I326" s="39" t="s">
        <v>22</v>
      </c>
      <c r="J326" s="11">
        <v>2016</v>
      </c>
      <c r="K326" s="35">
        <f>1.5*24*31</f>
        <v>1116</v>
      </c>
      <c r="L326" s="11"/>
      <c r="M326" s="11"/>
      <c r="N326" s="11"/>
      <c r="O326" s="11">
        <v>94</v>
      </c>
      <c r="P326" s="11"/>
      <c r="Q326" s="11"/>
      <c r="R326" s="12"/>
      <c r="S326" s="12"/>
      <c r="T326" s="54"/>
      <c r="U326" s="12"/>
      <c r="V326" s="12"/>
      <c r="W326" s="12"/>
      <c r="X326" s="12"/>
      <c r="Y326" s="12"/>
      <c r="Z326" s="12"/>
      <c r="AA326" s="12"/>
      <c r="AB326" s="12"/>
      <c r="AC326" s="12"/>
    </row>
    <row r="327" spans="1:29" x14ac:dyDescent="0.2">
      <c r="A327" s="11">
        <v>9</v>
      </c>
      <c r="B327" s="39" t="s">
        <v>21</v>
      </c>
      <c r="C327" s="11">
        <v>2016</v>
      </c>
      <c r="D327" s="12" t="s">
        <v>15</v>
      </c>
      <c r="E327" s="12" t="s">
        <v>59</v>
      </c>
      <c r="F327" s="12"/>
      <c r="G327" s="12"/>
      <c r="H327" s="11"/>
      <c r="I327" s="39" t="s">
        <v>22</v>
      </c>
      <c r="J327" s="11">
        <v>2016</v>
      </c>
      <c r="K327" s="35">
        <f>0.78*24*31</f>
        <v>580.31999999999994</v>
      </c>
      <c r="L327" s="11"/>
      <c r="M327" s="11"/>
      <c r="N327" s="11"/>
      <c r="O327" s="11"/>
      <c r="P327" s="11">
        <v>16</v>
      </c>
      <c r="Q327" s="11"/>
      <c r="R327" s="12"/>
      <c r="S327" s="12"/>
      <c r="T327" s="54">
        <v>20</v>
      </c>
      <c r="U327" s="12"/>
      <c r="V327" s="12">
        <v>24</v>
      </c>
      <c r="W327" s="12"/>
      <c r="X327" s="12"/>
      <c r="Y327" s="12"/>
      <c r="Z327" s="12"/>
      <c r="AA327" s="12"/>
      <c r="AB327" s="12"/>
      <c r="AC327" s="12"/>
    </row>
    <row r="328" spans="1:29" x14ac:dyDescent="0.2">
      <c r="A328" s="9">
        <v>24</v>
      </c>
      <c r="B328" s="40" t="s">
        <v>21</v>
      </c>
      <c r="C328" s="9">
        <v>2016</v>
      </c>
      <c r="D328" s="10" t="s">
        <v>12</v>
      </c>
      <c r="E328" s="10" t="s">
        <v>58</v>
      </c>
      <c r="F328" s="10"/>
      <c r="G328" s="10"/>
      <c r="H328" s="9"/>
      <c r="I328" s="40" t="s">
        <v>22</v>
      </c>
      <c r="J328" s="9">
        <v>2016</v>
      </c>
      <c r="K328" s="34">
        <f>1.39*24*31</f>
        <v>1034.1600000000001</v>
      </c>
      <c r="L328" s="9"/>
      <c r="M328" s="9"/>
      <c r="N328" s="9">
        <v>40</v>
      </c>
      <c r="O328" s="9"/>
      <c r="P328" s="9">
        <v>40</v>
      </c>
      <c r="Q328" s="9"/>
      <c r="R328" s="10"/>
      <c r="S328" s="10"/>
      <c r="T328" s="55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x14ac:dyDescent="0.2">
      <c r="A329" s="9">
        <v>24</v>
      </c>
      <c r="B329" s="40" t="s">
        <v>21</v>
      </c>
      <c r="C329" s="9">
        <v>2016</v>
      </c>
      <c r="D329" s="10" t="s">
        <v>15</v>
      </c>
      <c r="E329" s="10" t="s">
        <v>59</v>
      </c>
      <c r="F329" s="10"/>
      <c r="G329" s="10"/>
      <c r="H329" s="9"/>
      <c r="I329" s="40" t="s">
        <v>22</v>
      </c>
      <c r="J329" s="9">
        <v>2016</v>
      </c>
      <c r="K329" s="34">
        <f>0.95*24*31</f>
        <v>706.8</v>
      </c>
      <c r="L329" s="9"/>
      <c r="M329" s="9"/>
      <c r="N329" s="9"/>
      <c r="O329" s="9"/>
      <c r="P329" s="9">
        <v>16</v>
      </c>
      <c r="Q329" s="9"/>
      <c r="R329" s="10"/>
      <c r="S329" s="10"/>
      <c r="T329" s="55">
        <v>20</v>
      </c>
      <c r="U329" s="10"/>
      <c r="V329" s="10">
        <v>14</v>
      </c>
      <c r="W329" s="10"/>
      <c r="X329" s="10"/>
      <c r="Y329" s="10"/>
      <c r="Z329" s="10"/>
      <c r="AA329" s="10"/>
      <c r="AB329" s="10"/>
      <c r="AC329" s="10"/>
    </row>
    <row r="330" spans="1:29" x14ac:dyDescent="0.2">
      <c r="A330" s="11">
        <v>10</v>
      </c>
      <c r="B330" s="39" t="s">
        <v>22</v>
      </c>
      <c r="C330" s="11">
        <v>2016</v>
      </c>
      <c r="D330" s="12" t="s">
        <v>12</v>
      </c>
      <c r="E330" s="12" t="s">
        <v>58</v>
      </c>
      <c r="F330" s="12"/>
      <c r="G330" s="12"/>
      <c r="H330" s="11"/>
      <c r="I330" s="39" t="s">
        <v>23</v>
      </c>
      <c r="J330" s="11">
        <v>2016</v>
      </c>
      <c r="K330" s="35">
        <f>1.42*24*30</f>
        <v>1022.4</v>
      </c>
      <c r="L330" s="11"/>
      <c r="M330" s="11"/>
      <c r="N330" s="11">
        <v>75</v>
      </c>
      <c r="O330" s="11">
        <v>27</v>
      </c>
      <c r="P330" s="11"/>
      <c r="Q330" s="11"/>
      <c r="R330" s="12"/>
      <c r="S330" s="12"/>
      <c r="T330" s="54"/>
      <c r="U330" s="12"/>
      <c r="V330" s="12"/>
      <c r="W330" s="12"/>
      <c r="X330" s="12"/>
      <c r="Y330" s="12"/>
      <c r="Z330" s="12"/>
      <c r="AA330" s="12"/>
      <c r="AB330" s="12"/>
      <c r="AC330" s="12"/>
    </row>
    <row r="331" spans="1:29" x14ac:dyDescent="0.2">
      <c r="A331" s="11">
        <v>10</v>
      </c>
      <c r="B331" s="39" t="s">
        <v>22</v>
      </c>
      <c r="C331" s="11">
        <v>2016</v>
      </c>
      <c r="D331" s="12" t="s">
        <v>15</v>
      </c>
      <c r="E331" s="12" t="s">
        <v>59</v>
      </c>
      <c r="F331" s="12"/>
      <c r="G331" s="12"/>
      <c r="H331" s="11"/>
      <c r="I331" s="39" t="s">
        <v>23</v>
      </c>
      <c r="J331" s="11">
        <v>2016</v>
      </c>
      <c r="K331" s="35">
        <f>1.34*24*30</f>
        <v>964.80000000000007</v>
      </c>
      <c r="L331" s="11"/>
      <c r="M331" s="11"/>
      <c r="N331" s="11"/>
      <c r="O331" s="11"/>
      <c r="P331" s="11">
        <v>30</v>
      </c>
      <c r="Q331" s="11"/>
      <c r="R331" s="12"/>
      <c r="S331" s="12"/>
      <c r="T331" s="54">
        <v>72</v>
      </c>
      <c r="U331" s="12"/>
      <c r="V331" s="12">
        <v>6</v>
      </c>
      <c r="W331" s="12"/>
      <c r="X331" s="12"/>
      <c r="Y331" s="12"/>
      <c r="Z331" s="12"/>
      <c r="AA331" s="12"/>
      <c r="AB331" s="12"/>
      <c r="AC331" s="12"/>
    </row>
    <row r="332" spans="1:29" x14ac:dyDescent="0.2">
      <c r="A332" s="9">
        <v>6</v>
      </c>
      <c r="B332" s="40" t="s">
        <v>23</v>
      </c>
      <c r="C332" s="9">
        <v>2016</v>
      </c>
      <c r="D332" s="10" t="s">
        <v>12</v>
      </c>
      <c r="E332" s="10" t="s">
        <v>58</v>
      </c>
      <c r="F332" s="10"/>
      <c r="G332" s="10"/>
      <c r="H332" s="9"/>
      <c r="I332" s="40" t="s">
        <v>24</v>
      </c>
      <c r="J332" s="9">
        <v>2016</v>
      </c>
      <c r="K332" s="34">
        <f>1.8*24*31</f>
        <v>1339.2</v>
      </c>
      <c r="L332" s="9"/>
      <c r="M332" s="9"/>
      <c r="N332" s="9"/>
      <c r="O332" s="9">
        <v>90</v>
      </c>
      <c r="P332" s="9"/>
      <c r="Q332" s="9"/>
      <c r="R332" s="10"/>
      <c r="S332" s="10"/>
      <c r="T332" s="55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x14ac:dyDescent="0.2">
      <c r="A333" s="9">
        <v>6</v>
      </c>
      <c r="B333" s="40" t="s">
        <v>23</v>
      </c>
      <c r="C333" s="9">
        <v>2016</v>
      </c>
      <c r="D333" s="10" t="s">
        <v>15</v>
      </c>
      <c r="E333" s="10" t="s">
        <v>59</v>
      </c>
      <c r="F333" s="10"/>
      <c r="G333" s="10"/>
      <c r="H333" s="9"/>
      <c r="I333" s="40" t="s">
        <v>24</v>
      </c>
      <c r="J333" s="9">
        <v>2016</v>
      </c>
      <c r="K333" s="34">
        <f>0.03*24*31</f>
        <v>22.32</v>
      </c>
      <c r="L333" s="9"/>
      <c r="M333" s="9"/>
      <c r="N333" s="9">
        <v>1</v>
      </c>
      <c r="O333" s="9"/>
      <c r="P333" s="9"/>
      <c r="Q333" s="9"/>
      <c r="R333" s="10"/>
      <c r="S333" s="10"/>
      <c r="T333" s="55">
        <v>79</v>
      </c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x14ac:dyDescent="0.2">
      <c r="A334" s="11">
        <v>16</v>
      </c>
      <c r="B334" s="39" t="s">
        <v>25</v>
      </c>
      <c r="C334" s="11">
        <v>2016</v>
      </c>
      <c r="D334" s="12" t="s">
        <v>6</v>
      </c>
      <c r="E334" s="12" t="s">
        <v>58</v>
      </c>
      <c r="F334" s="12"/>
      <c r="G334" s="12"/>
      <c r="H334" s="11"/>
      <c r="I334" s="39" t="s">
        <v>29</v>
      </c>
      <c r="J334" s="11">
        <v>2016</v>
      </c>
      <c r="K334" s="35">
        <f>2.11*24*365/12</f>
        <v>1540.3</v>
      </c>
      <c r="L334" s="11"/>
      <c r="M334" s="11"/>
      <c r="N334" s="11"/>
      <c r="O334" s="11">
        <v>15</v>
      </c>
      <c r="P334" s="11"/>
      <c r="Q334" s="11"/>
      <c r="R334" s="12"/>
      <c r="S334" s="12"/>
      <c r="T334" s="54">
        <v>25</v>
      </c>
      <c r="U334" s="12"/>
      <c r="V334" s="12"/>
      <c r="W334" s="12"/>
      <c r="X334" s="12"/>
      <c r="Y334" s="12"/>
      <c r="Z334" s="12"/>
      <c r="AA334" s="12"/>
      <c r="AB334" s="12"/>
      <c r="AC334" s="12"/>
    </row>
    <row r="335" spans="1:29" x14ac:dyDescent="0.2">
      <c r="A335" s="11">
        <v>16</v>
      </c>
      <c r="B335" s="39" t="s">
        <v>25</v>
      </c>
      <c r="C335" s="11">
        <v>2016</v>
      </c>
      <c r="D335" s="12" t="s">
        <v>14</v>
      </c>
      <c r="E335" s="12" t="s">
        <v>59</v>
      </c>
      <c r="F335" s="12"/>
      <c r="G335" s="12"/>
      <c r="H335" s="11"/>
      <c r="I335" s="39" t="s">
        <v>29</v>
      </c>
      <c r="J335" s="11">
        <v>2016</v>
      </c>
      <c r="K335" s="35">
        <f>1.53*24*365/12</f>
        <v>1116.8999999999999</v>
      </c>
      <c r="L335" s="11"/>
      <c r="M335" s="11"/>
      <c r="N335" s="11"/>
      <c r="O335" s="11"/>
      <c r="P335" s="11"/>
      <c r="Q335" s="11"/>
      <c r="R335" s="12"/>
      <c r="S335" s="12"/>
      <c r="T335" s="54">
        <v>20</v>
      </c>
      <c r="U335" s="12"/>
      <c r="V335" s="12"/>
      <c r="W335" s="12"/>
      <c r="X335" s="12"/>
      <c r="Y335" s="12">
        <v>10</v>
      </c>
      <c r="Z335" s="12"/>
      <c r="AA335" s="12"/>
      <c r="AB335" s="12"/>
      <c r="AC335" s="12"/>
    </row>
    <row r="336" spans="1:29" x14ac:dyDescent="0.2">
      <c r="A336" s="9">
        <v>19</v>
      </c>
      <c r="B336" s="40" t="s">
        <v>26</v>
      </c>
      <c r="C336" s="9">
        <v>2016</v>
      </c>
      <c r="D336" s="10" t="s">
        <v>6</v>
      </c>
      <c r="E336" s="10" t="s">
        <v>58</v>
      </c>
      <c r="F336" s="10"/>
      <c r="G336" s="10"/>
      <c r="H336" s="9"/>
      <c r="I336" s="40" t="s">
        <v>29</v>
      </c>
      <c r="J336" s="9">
        <v>2016</v>
      </c>
      <c r="K336" s="34">
        <f>1.86*24*365/12</f>
        <v>1357.8</v>
      </c>
      <c r="L336" s="9">
        <v>15</v>
      </c>
      <c r="M336" s="9"/>
      <c r="N336" s="9"/>
      <c r="O336" s="9">
        <v>45</v>
      </c>
      <c r="P336" s="9"/>
      <c r="Q336" s="9"/>
      <c r="R336" s="10"/>
      <c r="S336" s="10"/>
      <c r="T336" s="55">
        <v>10</v>
      </c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x14ac:dyDescent="0.2">
      <c r="A337" s="9">
        <v>19</v>
      </c>
      <c r="B337" s="40" t="s">
        <v>26</v>
      </c>
      <c r="C337" s="9">
        <v>2016</v>
      </c>
      <c r="D337" s="10" t="s">
        <v>14</v>
      </c>
      <c r="E337" s="10" t="s">
        <v>59</v>
      </c>
      <c r="F337" s="10"/>
      <c r="G337" s="10"/>
      <c r="H337" s="9"/>
      <c r="I337" s="40" t="s">
        <v>29</v>
      </c>
      <c r="J337" s="9">
        <v>2016</v>
      </c>
      <c r="K337" s="34">
        <f>0.96*24*365/12</f>
        <v>700.80000000000007</v>
      </c>
      <c r="L337" s="9"/>
      <c r="M337" s="9"/>
      <c r="N337" s="9"/>
      <c r="O337" s="9"/>
      <c r="P337" s="9">
        <v>5</v>
      </c>
      <c r="Q337" s="9"/>
      <c r="R337" s="10"/>
      <c r="S337" s="10"/>
      <c r="T337" s="55">
        <v>20</v>
      </c>
      <c r="U337" s="10"/>
      <c r="V337" s="10"/>
      <c r="W337" s="10"/>
      <c r="X337" s="10"/>
      <c r="Y337" s="10">
        <v>25</v>
      </c>
      <c r="Z337" s="10"/>
      <c r="AA337" s="10"/>
      <c r="AB337" s="10"/>
      <c r="AC337" s="10"/>
    </row>
    <row r="338" spans="1:29" x14ac:dyDescent="0.2">
      <c r="A338" s="11">
        <v>12</v>
      </c>
      <c r="B338" s="39" t="s">
        <v>27</v>
      </c>
      <c r="C338" s="11">
        <v>2016</v>
      </c>
      <c r="D338" s="12" t="s">
        <v>6</v>
      </c>
      <c r="E338" s="12" t="s">
        <v>58</v>
      </c>
      <c r="F338" s="12"/>
      <c r="G338" s="12"/>
      <c r="H338" s="11"/>
      <c r="I338" s="39" t="s">
        <v>29</v>
      </c>
      <c r="J338" s="11">
        <v>2016</v>
      </c>
      <c r="K338" s="35">
        <f>1.17*24*365/12</f>
        <v>854.09999999999991</v>
      </c>
      <c r="L338" s="11"/>
      <c r="M338" s="11"/>
      <c r="N338" s="11">
        <v>45</v>
      </c>
      <c r="O338" s="11">
        <v>30</v>
      </c>
      <c r="P338" s="11"/>
      <c r="Q338" s="11"/>
      <c r="R338" s="12"/>
      <c r="S338" s="12"/>
      <c r="T338" s="54">
        <v>5</v>
      </c>
      <c r="U338" s="12"/>
      <c r="V338" s="12"/>
      <c r="W338" s="12"/>
      <c r="X338" s="12"/>
      <c r="Y338" s="12"/>
      <c r="Z338" s="12"/>
      <c r="AA338" s="12"/>
      <c r="AB338" s="12"/>
      <c r="AC338" s="12"/>
    </row>
    <row r="339" spans="1:29" x14ac:dyDescent="0.2">
      <c r="A339" s="11">
        <v>12</v>
      </c>
      <c r="B339" s="39" t="s">
        <v>27</v>
      </c>
      <c r="C339" s="11">
        <v>2016</v>
      </c>
      <c r="D339" s="12" t="s">
        <v>14</v>
      </c>
      <c r="E339" s="12" t="s">
        <v>59</v>
      </c>
      <c r="F339" s="12"/>
      <c r="G339" s="12"/>
      <c r="H339" s="11"/>
      <c r="I339" s="39" t="s">
        <v>29</v>
      </c>
      <c r="J339" s="11">
        <v>2016</v>
      </c>
      <c r="K339" s="35">
        <f>1.15*24*365/12</f>
        <v>839.5</v>
      </c>
      <c r="L339" s="11">
        <v>3</v>
      </c>
      <c r="M339" s="11"/>
      <c r="N339" s="11"/>
      <c r="O339" s="11"/>
      <c r="P339" s="11"/>
      <c r="Q339" s="11"/>
      <c r="R339" s="12"/>
      <c r="S339" s="12"/>
      <c r="T339" s="54"/>
      <c r="U339" s="12"/>
      <c r="V339" s="12">
        <v>32</v>
      </c>
      <c r="W339" s="12"/>
      <c r="X339" s="12"/>
      <c r="Y339" s="12">
        <v>15</v>
      </c>
      <c r="Z339" s="12"/>
      <c r="AA339" s="12"/>
      <c r="AB339" s="12"/>
      <c r="AC339" s="12"/>
    </row>
    <row r="340" spans="1:29" x14ac:dyDescent="0.2">
      <c r="A340" s="9">
        <v>17</v>
      </c>
      <c r="B340" s="40" t="s">
        <v>27</v>
      </c>
      <c r="C340" s="9">
        <v>2016</v>
      </c>
      <c r="D340" s="10" t="s">
        <v>48</v>
      </c>
      <c r="E340" s="10" t="s">
        <v>58</v>
      </c>
      <c r="F340" s="10"/>
      <c r="G340" s="10"/>
      <c r="H340" s="9"/>
      <c r="I340" s="40" t="s">
        <v>29</v>
      </c>
      <c r="J340" s="9">
        <v>2016</v>
      </c>
      <c r="K340" s="34">
        <f>0.35*24*192/6</f>
        <v>268.79999999999995</v>
      </c>
      <c r="L340" s="9"/>
      <c r="M340" s="9"/>
      <c r="N340" s="9">
        <v>20</v>
      </c>
      <c r="O340" s="9">
        <v>10</v>
      </c>
      <c r="P340" s="9"/>
      <c r="Q340" s="9"/>
      <c r="R340" s="10"/>
      <c r="S340" s="10"/>
      <c r="T340" s="55">
        <v>30</v>
      </c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x14ac:dyDescent="0.2">
      <c r="A341" s="9">
        <v>17</v>
      </c>
      <c r="B341" s="40" t="s">
        <v>27</v>
      </c>
      <c r="C341" s="9">
        <v>2016</v>
      </c>
      <c r="D341" s="10" t="s">
        <v>66</v>
      </c>
      <c r="E341" s="10" t="s">
        <v>59</v>
      </c>
      <c r="F341" s="10"/>
      <c r="G341" s="10"/>
      <c r="H341" s="9"/>
      <c r="I341" s="40" t="s">
        <v>29</v>
      </c>
      <c r="J341" s="9">
        <v>2016</v>
      </c>
      <c r="K341" s="34">
        <f>1.88*24*192/6</f>
        <v>1443.84</v>
      </c>
      <c r="L341" s="9">
        <v>5</v>
      </c>
      <c r="M341" s="9"/>
      <c r="N341" s="9"/>
      <c r="O341" s="9"/>
      <c r="P341" s="9"/>
      <c r="Q341" s="9"/>
      <c r="R341" s="10"/>
      <c r="S341" s="10"/>
      <c r="T341" s="55">
        <v>10</v>
      </c>
      <c r="U341" s="10"/>
      <c r="V341" s="10">
        <v>15</v>
      </c>
      <c r="W341" s="10"/>
      <c r="X341" s="10"/>
      <c r="Y341" s="10"/>
      <c r="Z341" s="10"/>
      <c r="AA341" s="10"/>
      <c r="AB341" s="10"/>
      <c r="AC341" s="10"/>
    </row>
    <row r="342" spans="1:29" x14ac:dyDescent="0.2">
      <c r="A342" s="9">
        <v>18</v>
      </c>
      <c r="B342" s="40" t="s">
        <v>27</v>
      </c>
      <c r="C342" s="9">
        <v>2016</v>
      </c>
      <c r="D342" s="10" t="s">
        <v>49</v>
      </c>
      <c r="E342" s="10" t="s">
        <v>58</v>
      </c>
      <c r="F342" s="10"/>
      <c r="G342" s="10"/>
      <c r="H342" s="9"/>
      <c r="I342" s="40" t="s">
        <v>29</v>
      </c>
      <c r="J342" s="9">
        <v>2016</v>
      </c>
      <c r="K342" s="34">
        <f>0.55*24*92/3</f>
        <v>404.8</v>
      </c>
      <c r="L342" s="9"/>
      <c r="M342" s="9"/>
      <c r="N342" s="9"/>
      <c r="O342" s="9"/>
      <c r="P342" s="9">
        <v>30</v>
      </c>
      <c r="Q342" s="9"/>
      <c r="R342" s="10"/>
      <c r="S342" s="10"/>
      <c r="T342" s="55">
        <v>55</v>
      </c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x14ac:dyDescent="0.2">
      <c r="A343" s="9">
        <v>18</v>
      </c>
      <c r="B343" s="40" t="s">
        <v>27</v>
      </c>
      <c r="C343" s="9">
        <v>2016</v>
      </c>
      <c r="D343" s="10" t="s">
        <v>65</v>
      </c>
      <c r="E343" s="10" t="s">
        <v>59</v>
      </c>
      <c r="F343" s="10"/>
      <c r="G343" s="10"/>
      <c r="H343" s="9"/>
      <c r="I343" s="40" t="s">
        <v>29</v>
      </c>
      <c r="J343" s="9">
        <v>2016</v>
      </c>
      <c r="K343" s="34">
        <f>2.08*24*92/3</f>
        <v>1530.88</v>
      </c>
      <c r="L343" s="9">
        <v>10</v>
      </c>
      <c r="M343" s="9"/>
      <c r="N343" s="9"/>
      <c r="O343" s="9"/>
      <c r="P343" s="9">
        <v>4</v>
      </c>
      <c r="Q343" s="9"/>
      <c r="R343" s="10"/>
      <c r="S343" s="10"/>
      <c r="T343" s="55">
        <v>3</v>
      </c>
      <c r="U343" s="10"/>
      <c r="V343" s="10">
        <v>2</v>
      </c>
      <c r="W343" s="10"/>
      <c r="X343" s="10"/>
      <c r="Y343" s="10">
        <v>10</v>
      </c>
      <c r="Z343" s="10"/>
      <c r="AA343" s="10"/>
      <c r="AB343" s="10"/>
      <c r="AC343" s="10"/>
    </row>
    <row r="344" spans="1:29" x14ac:dyDescent="0.2">
      <c r="A344" s="11">
        <v>8</v>
      </c>
      <c r="B344" s="39" t="s">
        <v>28</v>
      </c>
      <c r="C344" s="11">
        <v>2016</v>
      </c>
      <c r="D344" s="12" t="s">
        <v>12</v>
      </c>
      <c r="E344" s="12" t="s">
        <v>58</v>
      </c>
      <c r="F344" s="12"/>
      <c r="G344" s="12"/>
      <c r="H344" s="11"/>
      <c r="I344" s="39" t="s">
        <v>29</v>
      </c>
      <c r="J344" s="11">
        <v>2016</v>
      </c>
      <c r="K344" s="35">
        <f>0.68*24*31</f>
        <v>505.92</v>
      </c>
      <c r="L344" s="11"/>
      <c r="M344" s="11"/>
      <c r="N344" s="11">
        <v>68</v>
      </c>
      <c r="O344" s="11"/>
      <c r="P344" s="11"/>
      <c r="Q344" s="11"/>
      <c r="R344" s="12"/>
      <c r="S344" s="12"/>
      <c r="T344" s="54">
        <v>81</v>
      </c>
      <c r="U344" s="12"/>
      <c r="V344" s="12"/>
      <c r="W344" s="12"/>
      <c r="X344" s="12"/>
      <c r="Y344" s="12"/>
      <c r="Z344" s="12"/>
      <c r="AA344" s="12"/>
      <c r="AB344" s="12"/>
      <c r="AC344" s="12"/>
    </row>
    <row r="345" spans="1:29" x14ac:dyDescent="0.2">
      <c r="A345" s="11">
        <v>8</v>
      </c>
      <c r="B345" s="39" t="s">
        <v>28</v>
      </c>
      <c r="C345" s="11">
        <v>2016</v>
      </c>
      <c r="D345" s="12" t="s">
        <v>15</v>
      </c>
      <c r="E345" s="12" t="s">
        <v>59</v>
      </c>
      <c r="F345" s="12"/>
      <c r="G345" s="12"/>
      <c r="H345" s="11"/>
      <c r="I345" s="39" t="s">
        <v>29</v>
      </c>
      <c r="J345" s="11">
        <v>2016</v>
      </c>
      <c r="K345" s="35">
        <f>1.42*24*31</f>
        <v>1056.48</v>
      </c>
      <c r="L345" s="11"/>
      <c r="M345" s="11"/>
      <c r="N345" s="11"/>
      <c r="O345" s="11"/>
      <c r="P345" s="11">
        <v>10</v>
      </c>
      <c r="Q345" s="11"/>
      <c r="R345" s="12"/>
      <c r="S345" s="12"/>
      <c r="T345" s="54">
        <v>80</v>
      </c>
      <c r="U345" s="12"/>
      <c r="V345" s="12"/>
      <c r="W345" s="12"/>
      <c r="X345" s="12"/>
      <c r="Y345" s="12"/>
      <c r="Z345" s="12"/>
      <c r="AA345" s="12"/>
      <c r="AB345" s="12"/>
      <c r="AC345" s="12"/>
    </row>
    <row r="346" spans="1:29" x14ac:dyDescent="0.2">
      <c r="A346" s="9">
        <v>10</v>
      </c>
      <c r="B346" s="40" t="s">
        <v>29</v>
      </c>
      <c r="C346" s="9">
        <v>2016</v>
      </c>
      <c r="D346" s="10" t="s">
        <v>12</v>
      </c>
      <c r="E346" s="10" t="s">
        <v>58</v>
      </c>
      <c r="F346" s="10"/>
      <c r="G346" s="10"/>
      <c r="H346" s="9"/>
      <c r="I346" s="40" t="s">
        <v>30</v>
      </c>
      <c r="J346" s="9">
        <v>2016</v>
      </c>
      <c r="K346" s="34">
        <f>0.44*24*30</f>
        <v>316.8</v>
      </c>
      <c r="L346" s="9"/>
      <c r="M346" s="9"/>
      <c r="N346" s="9"/>
      <c r="O346" s="9"/>
      <c r="P346" s="9"/>
      <c r="Q346" s="9"/>
      <c r="R346" s="10"/>
      <c r="S346" s="10"/>
      <c r="T346" s="55">
        <v>107</v>
      </c>
      <c r="U346" s="10"/>
      <c r="V346" s="10">
        <v>9</v>
      </c>
      <c r="W346" s="10"/>
      <c r="X346" s="10"/>
      <c r="Y346" s="10"/>
      <c r="Z346" s="10">
        <v>10</v>
      </c>
      <c r="AA346" s="10">
        <v>53</v>
      </c>
      <c r="AB346" s="10"/>
      <c r="AC346" s="10"/>
    </row>
    <row r="347" spans="1:29" x14ac:dyDescent="0.2">
      <c r="A347" s="9">
        <v>10</v>
      </c>
      <c r="B347" s="40" t="s">
        <v>29</v>
      </c>
      <c r="C347" s="9">
        <v>2016</v>
      </c>
      <c r="D347" s="10" t="s">
        <v>15</v>
      </c>
      <c r="E347" s="10" t="s">
        <v>59</v>
      </c>
      <c r="F347" s="10"/>
      <c r="G347" s="10"/>
      <c r="H347" s="9"/>
      <c r="I347" s="40" t="s">
        <v>30</v>
      </c>
      <c r="J347" s="9">
        <v>2016</v>
      </c>
      <c r="K347" s="34">
        <f>5.17*24*30</f>
        <v>3722.4</v>
      </c>
      <c r="L347" s="9">
        <v>23</v>
      </c>
      <c r="M347" s="9"/>
      <c r="N347" s="9"/>
      <c r="O347" s="9"/>
      <c r="P347" s="9"/>
      <c r="Q347" s="9"/>
      <c r="R347" s="10"/>
      <c r="S347" s="10"/>
      <c r="T347" s="55">
        <v>73</v>
      </c>
      <c r="U347" s="10"/>
      <c r="V347" s="10">
        <v>2</v>
      </c>
      <c r="W347" s="10"/>
      <c r="X347" s="10"/>
      <c r="Y347" s="10"/>
      <c r="Z347" s="10"/>
      <c r="AA347" s="10"/>
      <c r="AB347" s="10"/>
      <c r="AC347" s="10"/>
    </row>
    <row r="348" spans="1:29" x14ac:dyDescent="0.2">
      <c r="A348" s="11">
        <v>10</v>
      </c>
      <c r="B348" s="39" t="s">
        <v>30</v>
      </c>
      <c r="C348" s="11">
        <v>2016</v>
      </c>
      <c r="D348" s="12" t="s">
        <v>12</v>
      </c>
      <c r="E348" s="12" t="s">
        <v>58</v>
      </c>
      <c r="F348" s="12"/>
      <c r="G348" s="12"/>
      <c r="H348" s="11"/>
      <c r="I348" s="39" t="s">
        <v>31</v>
      </c>
      <c r="J348" s="11">
        <v>2016</v>
      </c>
      <c r="K348" s="35">
        <f>0.31*24*31</f>
        <v>230.64</v>
      </c>
      <c r="L348" s="11"/>
      <c r="M348" s="11"/>
      <c r="N348" s="11"/>
      <c r="O348" s="11"/>
      <c r="P348" s="11"/>
      <c r="Q348" s="11"/>
      <c r="R348" s="12"/>
      <c r="S348" s="12"/>
      <c r="T348" s="54">
        <v>75</v>
      </c>
      <c r="U348" s="12"/>
      <c r="V348" s="12">
        <v>15</v>
      </c>
      <c r="W348" s="12"/>
      <c r="X348" s="12"/>
      <c r="Y348" s="12"/>
      <c r="Z348" s="12">
        <v>35</v>
      </c>
      <c r="AA348" s="12">
        <v>45</v>
      </c>
      <c r="AB348" s="12"/>
      <c r="AC348" s="12"/>
    </row>
    <row r="349" spans="1:29" x14ac:dyDescent="0.2">
      <c r="A349" s="11">
        <v>10</v>
      </c>
      <c r="B349" s="39" t="s">
        <v>30</v>
      </c>
      <c r="C349" s="11">
        <v>2016</v>
      </c>
      <c r="D349" s="12" t="s">
        <v>15</v>
      </c>
      <c r="E349" s="12" t="s">
        <v>59</v>
      </c>
      <c r="F349" s="12"/>
      <c r="G349" s="12"/>
      <c r="H349" s="11"/>
      <c r="I349" s="39" t="s">
        <v>31</v>
      </c>
      <c r="J349" s="11">
        <v>2016</v>
      </c>
      <c r="K349" s="35">
        <f>10.84*24*31</f>
        <v>8064.9599999999991</v>
      </c>
      <c r="L349" s="11"/>
      <c r="M349" s="11"/>
      <c r="N349" s="11"/>
      <c r="O349" s="11"/>
      <c r="P349" s="11"/>
      <c r="Q349" s="11"/>
      <c r="R349" s="12"/>
      <c r="S349" s="12"/>
      <c r="T349" s="54">
        <v>80</v>
      </c>
      <c r="U349" s="12"/>
      <c r="V349" s="12">
        <v>18</v>
      </c>
      <c r="W349" s="12"/>
      <c r="X349" s="12"/>
      <c r="Y349" s="12"/>
      <c r="Z349" s="12"/>
      <c r="AA349" s="12">
        <v>5</v>
      </c>
      <c r="AB349" s="12"/>
      <c r="AC349" s="12"/>
    </row>
    <row r="350" spans="1:29" x14ac:dyDescent="0.2">
      <c r="A350" s="9">
        <v>5</v>
      </c>
      <c r="B350" s="40" t="s">
        <v>31</v>
      </c>
      <c r="C350" s="9">
        <v>2016</v>
      </c>
      <c r="D350" s="10" t="s">
        <v>12</v>
      </c>
      <c r="E350" s="10" t="s">
        <v>58</v>
      </c>
      <c r="F350" s="10"/>
      <c r="G350" s="10"/>
      <c r="H350" s="9"/>
      <c r="I350" s="40" t="s">
        <v>20</v>
      </c>
      <c r="J350" s="9">
        <v>2017</v>
      </c>
      <c r="K350" s="34">
        <f>1.39*24*31</f>
        <v>1034.1600000000001</v>
      </c>
      <c r="L350" s="9"/>
      <c r="M350" s="9"/>
      <c r="N350" s="9">
        <v>55</v>
      </c>
      <c r="O350" s="9"/>
      <c r="P350" s="9"/>
      <c r="Q350" s="9"/>
      <c r="R350" s="10"/>
      <c r="S350" s="10"/>
      <c r="T350" s="55">
        <v>20</v>
      </c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x14ac:dyDescent="0.2">
      <c r="A351" s="9">
        <v>5</v>
      </c>
      <c r="B351" s="40" t="s">
        <v>31</v>
      </c>
      <c r="C351" s="9">
        <v>2016</v>
      </c>
      <c r="D351" s="10" t="s">
        <v>15</v>
      </c>
      <c r="E351" s="10" t="s">
        <v>59</v>
      </c>
      <c r="F351" s="10"/>
      <c r="G351" s="10"/>
      <c r="H351" s="9"/>
      <c r="I351" s="40" t="s">
        <v>20</v>
      </c>
      <c r="J351" s="9">
        <v>2017</v>
      </c>
      <c r="K351" s="34">
        <f>2.55*24*31</f>
        <v>1897.1999999999998</v>
      </c>
      <c r="L351" s="9">
        <v>10</v>
      </c>
      <c r="M351" s="9"/>
      <c r="N351" s="9"/>
      <c r="O351" s="9"/>
      <c r="P351" s="9"/>
      <c r="Q351" s="9"/>
      <c r="R351" s="10"/>
      <c r="S351" s="10"/>
      <c r="T351" s="55">
        <v>10</v>
      </c>
      <c r="U351" s="10"/>
      <c r="V351" s="10"/>
      <c r="W351" s="10"/>
      <c r="X351" s="10"/>
      <c r="Y351" s="10">
        <v>20</v>
      </c>
      <c r="Z351" s="10"/>
      <c r="AA351" s="10">
        <v>20</v>
      </c>
      <c r="AB351" s="10"/>
      <c r="AC351" s="10"/>
    </row>
    <row r="352" spans="1:29" x14ac:dyDescent="0.2">
      <c r="A352" s="11">
        <v>10</v>
      </c>
      <c r="B352" s="39" t="s">
        <v>20</v>
      </c>
      <c r="C352" s="11">
        <v>2017</v>
      </c>
      <c r="D352" s="12" t="s">
        <v>12</v>
      </c>
      <c r="E352" s="12" t="s">
        <v>58</v>
      </c>
      <c r="F352" s="12"/>
      <c r="G352" s="12"/>
      <c r="H352" s="11"/>
      <c r="I352" s="39" t="s">
        <v>21</v>
      </c>
      <c r="J352" s="11">
        <v>2017</v>
      </c>
      <c r="K352" s="35">
        <f>0.61*24*28</f>
        <v>409.92</v>
      </c>
      <c r="L352" s="11"/>
      <c r="M352" s="11"/>
      <c r="N352" s="11"/>
      <c r="O352" s="11"/>
      <c r="P352" s="11"/>
      <c r="Q352" s="11"/>
      <c r="R352" s="12"/>
      <c r="S352" s="12"/>
      <c r="T352" s="54">
        <v>40</v>
      </c>
      <c r="U352" s="12"/>
      <c r="V352" s="12"/>
      <c r="W352" s="12"/>
      <c r="X352" s="12"/>
      <c r="Y352" s="12"/>
      <c r="Z352" s="12">
        <v>15</v>
      </c>
      <c r="AA352" s="12"/>
      <c r="AB352" s="12">
        <v>5</v>
      </c>
      <c r="AC352" s="12"/>
    </row>
    <row r="353" spans="1:30" x14ac:dyDescent="0.2">
      <c r="A353" s="11">
        <v>10</v>
      </c>
      <c r="B353" s="39" t="s">
        <v>20</v>
      </c>
      <c r="C353" s="11">
        <v>2017</v>
      </c>
      <c r="D353" s="12" t="s">
        <v>15</v>
      </c>
      <c r="E353" s="12" t="s">
        <v>59</v>
      </c>
      <c r="F353" s="12"/>
      <c r="G353" s="12"/>
      <c r="H353" s="11"/>
      <c r="I353" s="39" t="s">
        <v>21</v>
      </c>
      <c r="J353" s="11">
        <v>2017</v>
      </c>
      <c r="K353" s="35">
        <f>2.17*24*28</f>
        <v>1458.24</v>
      </c>
      <c r="L353" s="11"/>
      <c r="M353" s="11"/>
      <c r="N353" s="11"/>
      <c r="O353" s="11"/>
      <c r="P353" s="11"/>
      <c r="Q353" s="11"/>
      <c r="R353" s="12"/>
      <c r="S353" s="12"/>
      <c r="T353" s="54"/>
      <c r="U353" s="12"/>
      <c r="V353" s="12">
        <v>85</v>
      </c>
      <c r="W353" s="12"/>
      <c r="X353" s="12"/>
      <c r="Y353" s="12"/>
      <c r="Z353" s="12"/>
      <c r="AA353" s="12">
        <v>5</v>
      </c>
      <c r="AB353" s="12"/>
      <c r="AC353" s="12"/>
    </row>
    <row r="354" spans="1:30" x14ac:dyDescent="0.2">
      <c r="A354" s="9">
        <v>8</v>
      </c>
      <c r="B354" s="40" t="s">
        <v>21</v>
      </c>
      <c r="C354" s="9">
        <v>2017</v>
      </c>
      <c r="D354" s="10" t="s">
        <v>12</v>
      </c>
      <c r="E354" s="10" t="s">
        <v>58</v>
      </c>
      <c r="F354" s="10"/>
      <c r="G354" s="10"/>
      <c r="H354" s="9"/>
      <c r="I354" s="40" t="s">
        <v>22</v>
      </c>
      <c r="J354" s="9">
        <v>2017</v>
      </c>
      <c r="K354" s="34">
        <f>1.5*24*31</f>
        <v>1116</v>
      </c>
      <c r="L354" s="9"/>
      <c r="M354" s="9"/>
      <c r="N354" s="9">
        <v>50</v>
      </c>
      <c r="O354" s="9"/>
      <c r="P354" s="9"/>
      <c r="Q354" s="9"/>
      <c r="R354" s="10"/>
      <c r="S354" s="10"/>
      <c r="T354" s="55">
        <v>25</v>
      </c>
      <c r="U354" s="10"/>
      <c r="V354" s="10"/>
      <c r="W354" s="10"/>
      <c r="X354" s="10"/>
      <c r="Y354" s="10">
        <v>10</v>
      </c>
      <c r="Z354" s="10"/>
      <c r="AA354" s="10"/>
      <c r="AB354" s="10"/>
      <c r="AC354" s="10"/>
    </row>
    <row r="355" spans="1:30" x14ac:dyDescent="0.2">
      <c r="A355" s="9">
        <v>8</v>
      </c>
      <c r="B355" s="40" t="s">
        <v>21</v>
      </c>
      <c r="C355" s="9">
        <v>2017</v>
      </c>
      <c r="D355" s="10" t="s">
        <v>15</v>
      </c>
      <c r="E355" s="10" t="s">
        <v>59</v>
      </c>
      <c r="F355" s="10"/>
      <c r="G355" s="10"/>
      <c r="H355" s="9"/>
      <c r="I355" s="40" t="s">
        <v>22</v>
      </c>
      <c r="J355" s="9">
        <v>2017</v>
      </c>
      <c r="K355" s="34">
        <f>2.1*24*31</f>
        <v>1562.4</v>
      </c>
      <c r="L355" s="9"/>
      <c r="M355" s="9"/>
      <c r="N355" s="9"/>
      <c r="O355" s="9"/>
      <c r="P355" s="9"/>
      <c r="Q355" s="9"/>
      <c r="R355" s="10"/>
      <c r="S355" s="10"/>
      <c r="T355" s="55">
        <v>10</v>
      </c>
      <c r="U355" s="10"/>
      <c r="V355" s="10">
        <v>5</v>
      </c>
      <c r="W355" s="10"/>
      <c r="X355" s="10">
        <v>15</v>
      </c>
      <c r="Y355" s="10"/>
      <c r="Z355" s="10"/>
      <c r="AA355" s="10"/>
      <c r="AB355" s="10">
        <v>10</v>
      </c>
      <c r="AC355" s="10"/>
    </row>
    <row r="356" spans="1:30" x14ac:dyDescent="0.2">
      <c r="A356" s="11">
        <v>14</v>
      </c>
      <c r="B356" s="39" t="s">
        <v>21</v>
      </c>
      <c r="C356" s="11">
        <v>2017</v>
      </c>
      <c r="D356" s="12" t="s">
        <v>48</v>
      </c>
      <c r="E356" s="12" t="s">
        <v>58</v>
      </c>
      <c r="F356" s="12"/>
      <c r="G356" s="12"/>
      <c r="H356" s="11"/>
      <c r="I356" s="39" t="s">
        <v>23</v>
      </c>
      <c r="J356" s="11">
        <v>2017</v>
      </c>
      <c r="K356" s="35">
        <f>1.94*24*183/6</f>
        <v>1420.08</v>
      </c>
      <c r="L356" s="11"/>
      <c r="M356" s="11"/>
      <c r="N356" s="11">
        <v>45</v>
      </c>
      <c r="O356" s="11"/>
      <c r="P356" s="11">
        <v>15</v>
      </c>
      <c r="Q356" s="11"/>
      <c r="R356" s="12"/>
      <c r="S356" s="12"/>
      <c r="T356" s="54">
        <v>40</v>
      </c>
      <c r="U356" s="12"/>
      <c r="V356" s="12"/>
      <c r="W356" s="12"/>
      <c r="X356" s="12"/>
      <c r="Y356" s="12"/>
      <c r="Z356" s="12"/>
      <c r="AA356" s="12"/>
      <c r="AB356" s="12"/>
      <c r="AC356" s="12"/>
    </row>
    <row r="357" spans="1:30" x14ac:dyDescent="0.2">
      <c r="A357" s="11">
        <v>14</v>
      </c>
      <c r="B357" s="39" t="s">
        <v>21</v>
      </c>
      <c r="C357" s="11">
        <v>2017</v>
      </c>
      <c r="D357" s="12" t="s">
        <v>66</v>
      </c>
      <c r="E357" s="12" t="s">
        <v>59</v>
      </c>
      <c r="F357" s="12"/>
      <c r="G357" s="12"/>
      <c r="H357" s="11"/>
      <c r="I357" s="39" t="s">
        <v>23</v>
      </c>
      <c r="J357" s="11">
        <v>2017</v>
      </c>
      <c r="K357" s="35">
        <f>0.94*24*183/6</f>
        <v>688.07999999999993</v>
      </c>
      <c r="L357" s="11"/>
      <c r="M357" s="11"/>
      <c r="N357" s="11"/>
      <c r="O357" s="11"/>
      <c r="P357" s="11">
        <v>1</v>
      </c>
      <c r="Q357" s="11"/>
      <c r="R357" s="12"/>
      <c r="S357" s="12"/>
      <c r="T357" s="54">
        <v>60</v>
      </c>
      <c r="U357" s="12"/>
      <c r="V357" s="12">
        <v>9</v>
      </c>
      <c r="W357" s="12"/>
      <c r="X357" s="12"/>
      <c r="Y357" s="12"/>
      <c r="Z357" s="12"/>
      <c r="AA357" s="12"/>
      <c r="AB357" s="12"/>
      <c r="AC357" s="12"/>
    </row>
    <row r="358" spans="1:30" x14ac:dyDescent="0.2">
      <c r="A358" s="9">
        <v>16</v>
      </c>
      <c r="B358" s="40" t="s">
        <v>21</v>
      </c>
      <c r="C358" s="9">
        <v>2017</v>
      </c>
      <c r="D358" s="10" t="s">
        <v>49</v>
      </c>
      <c r="E358" s="10" t="s">
        <v>58</v>
      </c>
      <c r="F358" s="10"/>
      <c r="G358" s="10"/>
      <c r="H358" s="9"/>
      <c r="I358" s="40" t="s">
        <v>23</v>
      </c>
      <c r="J358" s="9">
        <v>2017</v>
      </c>
      <c r="K358" s="34">
        <f>1.33*24*91/3</f>
        <v>968.24000000000012</v>
      </c>
      <c r="L358" s="9"/>
      <c r="M358" s="9"/>
      <c r="N358" s="9">
        <v>40</v>
      </c>
      <c r="O358" s="9"/>
      <c r="P358" s="9"/>
      <c r="Q358" s="9"/>
      <c r="R358" s="10"/>
      <c r="S358" s="10"/>
      <c r="T358" s="55">
        <v>26</v>
      </c>
      <c r="U358" s="10"/>
      <c r="V358" s="10">
        <v>4</v>
      </c>
      <c r="W358" s="10"/>
      <c r="X358" s="10"/>
      <c r="Y358" s="10"/>
      <c r="Z358" s="10"/>
      <c r="AA358" s="10"/>
      <c r="AB358" s="10"/>
      <c r="AC358" s="10"/>
    </row>
    <row r="359" spans="1:30" x14ac:dyDescent="0.2">
      <c r="A359" s="9">
        <v>16</v>
      </c>
      <c r="B359" s="40" t="s">
        <v>21</v>
      </c>
      <c r="C359" s="9">
        <v>2017</v>
      </c>
      <c r="D359" s="10" t="s">
        <v>65</v>
      </c>
      <c r="E359" s="10" t="s">
        <v>59</v>
      </c>
      <c r="F359" s="10"/>
      <c r="G359" s="10"/>
      <c r="H359" s="9"/>
      <c r="I359" s="40" t="s">
        <v>23</v>
      </c>
      <c r="J359" s="9">
        <v>2017</v>
      </c>
      <c r="K359" s="34">
        <f>0.97*24*91/3</f>
        <v>706.16</v>
      </c>
      <c r="L359" s="9"/>
      <c r="M359" s="9"/>
      <c r="N359" s="9"/>
      <c r="O359" s="9"/>
      <c r="P359" s="9"/>
      <c r="Q359" s="9"/>
      <c r="R359" s="10"/>
      <c r="S359" s="10"/>
      <c r="T359" s="55">
        <v>15</v>
      </c>
      <c r="U359" s="10"/>
      <c r="V359" s="10">
        <v>3</v>
      </c>
      <c r="W359" s="10"/>
      <c r="X359" s="10"/>
      <c r="Y359" s="10"/>
      <c r="Z359" s="10">
        <v>10</v>
      </c>
      <c r="AA359" s="10"/>
      <c r="AB359" s="10">
        <v>5</v>
      </c>
      <c r="AC359" s="10"/>
      <c r="AD359" s="41"/>
    </row>
    <row r="360" spans="1:30" x14ac:dyDescent="0.2">
      <c r="A360" s="11">
        <v>7</v>
      </c>
      <c r="B360" s="39" t="s">
        <v>22</v>
      </c>
      <c r="C360" s="11">
        <v>2017</v>
      </c>
      <c r="D360" s="12" t="s">
        <v>12</v>
      </c>
      <c r="E360" s="12" t="s">
        <v>58</v>
      </c>
      <c r="F360" s="12"/>
      <c r="G360" s="12"/>
      <c r="H360" s="11"/>
      <c r="I360" s="39" t="s">
        <v>23</v>
      </c>
      <c r="J360" s="11">
        <v>2017</v>
      </c>
      <c r="K360" s="35">
        <f>1.71*24*30</f>
        <v>1231.2</v>
      </c>
      <c r="L360" s="11">
        <v>10</v>
      </c>
      <c r="M360" s="11"/>
      <c r="N360" s="11"/>
      <c r="O360" s="11"/>
      <c r="P360" s="11"/>
      <c r="Q360" s="11"/>
      <c r="R360" s="12"/>
      <c r="S360" s="12"/>
      <c r="T360" s="54">
        <v>16</v>
      </c>
      <c r="U360" s="12"/>
      <c r="V360" s="12"/>
      <c r="W360" s="12"/>
      <c r="X360" s="12"/>
      <c r="Y360" s="12"/>
      <c r="Z360" s="12"/>
      <c r="AA360" s="12"/>
      <c r="AB360" s="12"/>
      <c r="AC360" s="12"/>
    </row>
    <row r="361" spans="1:30" x14ac:dyDescent="0.2">
      <c r="A361" s="11">
        <v>7</v>
      </c>
      <c r="B361" s="39" t="s">
        <v>22</v>
      </c>
      <c r="C361" s="11">
        <v>2017</v>
      </c>
      <c r="D361" s="12" t="s">
        <v>15</v>
      </c>
      <c r="E361" s="12" t="s">
        <v>59</v>
      </c>
      <c r="F361" s="12"/>
      <c r="G361" s="12"/>
      <c r="H361" s="11"/>
      <c r="I361" s="39" t="s">
        <v>23</v>
      </c>
      <c r="J361" s="11">
        <v>2017</v>
      </c>
      <c r="K361" s="35">
        <f>1.17*24*30</f>
        <v>842.4</v>
      </c>
      <c r="L361" s="11"/>
      <c r="M361" s="11"/>
      <c r="N361" s="11"/>
      <c r="O361" s="11"/>
      <c r="P361" s="11"/>
      <c r="Q361" s="11"/>
      <c r="R361" s="12"/>
      <c r="S361" s="12"/>
      <c r="T361" s="54">
        <v>30</v>
      </c>
      <c r="U361" s="12"/>
      <c r="V361" s="12"/>
      <c r="W361" s="12"/>
      <c r="X361" s="12"/>
      <c r="Y361" s="12">
        <v>10</v>
      </c>
      <c r="Z361" s="12"/>
      <c r="AA361" s="12"/>
      <c r="AB361" s="12">
        <v>5</v>
      </c>
      <c r="AC361" s="12"/>
    </row>
    <row r="362" spans="1:30" x14ac:dyDescent="0.2">
      <c r="A362" s="9">
        <v>11</v>
      </c>
      <c r="B362" s="40" t="s">
        <v>23</v>
      </c>
      <c r="C362" s="9">
        <v>2017</v>
      </c>
      <c r="D362" s="10" t="s">
        <v>12</v>
      </c>
      <c r="E362" s="10" t="s">
        <v>58</v>
      </c>
      <c r="F362" s="10"/>
      <c r="G362" s="10"/>
      <c r="H362" s="9"/>
      <c r="I362" s="40" t="s">
        <v>24</v>
      </c>
      <c r="J362" s="9">
        <v>2017</v>
      </c>
      <c r="K362" s="34">
        <f>3.77*24*31</f>
        <v>2804.88</v>
      </c>
      <c r="L362" s="9"/>
      <c r="M362" s="9"/>
      <c r="N362" s="9"/>
      <c r="O362" s="9"/>
      <c r="P362" s="9"/>
      <c r="Q362" s="9"/>
      <c r="R362" s="10"/>
      <c r="S362" s="10"/>
      <c r="T362" s="55">
        <v>35</v>
      </c>
      <c r="U362" s="10"/>
      <c r="V362" s="10"/>
      <c r="W362" s="10"/>
      <c r="X362" s="10"/>
      <c r="Y362" s="10"/>
      <c r="Z362" s="10"/>
      <c r="AA362" s="10"/>
      <c r="AB362" s="10">
        <v>5</v>
      </c>
      <c r="AC362" s="10"/>
    </row>
    <row r="363" spans="1:30" x14ac:dyDescent="0.2">
      <c r="A363" s="9">
        <v>11</v>
      </c>
      <c r="B363" s="40" t="s">
        <v>23</v>
      </c>
      <c r="C363" s="9">
        <v>2017</v>
      </c>
      <c r="D363" s="10" t="s">
        <v>15</v>
      </c>
      <c r="E363" s="10" t="s">
        <v>59</v>
      </c>
      <c r="F363" s="10"/>
      <c r="G363" s="10"/>
      <c r="H363" s="9"/>
      <c r="I363" s="40" t="s">
        <v>24</v>
      </c>
      <c r="J363" s="9">
        <v>2017</v>
      </c>
      <c r="K363" s="34">
        <f>1.56*24*31</f>
        <v>1160.6399999999999</v>
      </c>
      <c r="L363" s="9"/>
      <c r="M363" s="9"/>
      <c r="N363" s="9"/>
      <c r="O363" s="9"/>
      <c r="P363" s="9"/>
      <c r="Q363" s="9"/>
      <c r="R363" s="10"/>
      <c r="S363" s="10"/>
      <c r="T363" s="55">
        <v>42</v>
      </c>
      <c r="U363" s="10"/>
      <c r="V363" s="10"/>
      <c r="W363" s="10"/>
      <c r="X363" s="10">
        <v>2</v>
      </c>
      <c r="Y363" s="10"/>
      <c r="Z363" s="10"/>
      <c r="AA363" s="10">
        <v>30</v>
      </c>
      <c r="AB363" s="10">
        <v>5</v>
      </c>
      <c r="AC363" s="10"/>
      <c r="AD363" s="41"/>
    </row>
    <row r="364" spans="1:30" x14ac:dyDescent="0.2">
      <c r="A364" s="11">
        <v>9</v>
      </c>
      <c r="B364" s="39" t="s">
        <v>24</v>
      </c>
      <c r="C364" s="11">
        <v>2017</v>
      </c>
      <c r="D364" s="12" t="s">
        <v>12</v>
      </c>
      <c r="E364" s="12" t="s">
        <v>58</v>
      </c>
      <c r="F364" s="12"/>
      <c r="G364" s="12"/>
      <c r="H364" s="11"/>
      <c r="I364" s="39" t="s">
        <v>25</v>
      </c>
      <c r="J364" s="11">
        <v>2017</v>
      </c>
      <c r="K364" s="35"/>
      <c r="L364" s="11"/>
      <c r="M364" s="11"/>
      <c r="N364" s="11"/>
      <c r="O364" s="11"/>
      <c r="P364" s="11"/>
      <c r="Q364" s="11"/>
      <c r="R364" s="12"/>
      <c r="S364" s="12"/>
      <c r="T364" s="54"/>
      <c r="U364" s="12"/>
      <c r="V364" s="12"/>
      <c r="W364" s="12"/>
      <c r="X364" s="12"/>
      <c r="Y364" s="12"/>
      <c r="Z364" s="12"/>
      <c r="AA364" s="12"/>
      <c r="AB364" s="12"/>
      <c r="AC364" s="12"/>
    </row>
    <row r="365" spans="1:30" x14ac:dyDescent="0.2">
      <c r="A365" s="11">
        <v>9</v>
      </c>
      <c r="B365" s="39" t="s">
        <v>24</v>
      </c>
      <c r="C365" s="11">
        <v>2017</v>
      </c>
      <c r="D365" s="12" t="s">
        <v>15</v>
      </c>
      <c r="E365" s="12" t="s">
        <v>59</v>
      </c>
      <c r="F365" s="12"/>
      <c r="G365" s="12"/>
      <c r="H365" s="11"/>
      <c r="I365" s="39" t="s">
        <v>25</v>
      </c>
      <c r="J365" s="11">
        <v>2017</v>
      </c>
      <c r="K365" s="35">
        <f>1.3*24*31</f>
        <v>967.2</v>
      </c>
      <c r="L365" s="11"/>
      <c r="M365" s="11"/>
      <c r="N365" s="11"/>
      <c r="O365" s="11"/>
      <c r="P365" s="11"/>
      <c r="Q365" s="11"/>
      <c r="R365" s="12"/>
      <c r="S365" s="12"/>
      <c r="T365" s="54"/>
      <c r="U365" s="12"/>
      <c r="V365" s="12"/>
      <c r="W365" s="12"/>
      <c r="X365" s="12">
        <v>4</v>
      </c>
      <c r="Y365" s="12"/>
      <c r="Z365" s="12">
        <v>16</v>
      </c>
      <c r="AA365" s="12">
        <v>10</v>
      </c>
      <c r="AB365" s="12"/>
      <c r="AC365" s="12"/>
    </row>
    <row r="366" spans="1:30" x14ac:dyDescent="0.2">
      <c r="A366" s="9">
        <v>16</v>
      </c>
      <c r="B366" s="40" t="s">
        <v>24</v>
      </c>
      <c r="C366" s="9">
        <v>2017</v>
      </c>
      <c r="D366" s="10" t="s">
        <v>49</v>
      </c>
      <c r="E366" s="10" t="s">
        <v>58</v>
      </c>
      <c r="F366" s="10"/>
      <c r="G366" s="10"/>
      <c r="H366" s="9"/>
      <c r="I366" s="40" t="s">
        <v>26</v>
      </c>
      <c r="J366" s="9">
        <v>2017</v>
      </c>
      <c r="K366" s="34">
        <f>(2.03*24*92)/3</f>
        <v>1494.08</v>
      </c>
      <c r="L366" s="9"/>
      <c r="M366" s="9"/>
      <c r="N366" s="9"/>
      <c r="O366" s="9"/>
      <c r="P366" s="9"/>
      <c r="Q366" s="9"/>
      <c r="R366" s="10"/>
      <c r="S366" s="10"/>
      <c r="T366" s="55">
        <v>35</v>
      </c>
      <c r="U366" s="10"/>
      <c r="V366" s="10"/>
      <c r="W366" s="10"/>
      <c r="X366" s="10"/>
      <c r="Y366" s="10"/>
      <c r="Z366" s="10"/>
      <c r="AA366" s="10"/>
      <c r="AB366" s="10">
        <v>5</v>
      </c>
      <c r="AC366" s="10"/>
    </row>
    <row r="367" spans="1:30" x14ac:dyDescent="0.2">
      <c r="A367" s="9">
        <v>16</v>
      </c>
      <c r="B367" s="40" t="s">
        <v>24</v>
      </c>
      <c r="C367" s="9">
        <v>2017</v>
      </c>
      <c r="D367" s="10" t="s">
        <v>65</v>
      </c>
      <c r="E367" s="10" t="s">
        <v>59</v>
      </c>
      <c r="F367" s="10"/>
      <c r="G367" s="10"/>
      <c r="H367" s="9"/>
      <c r="I367" s="40" t="s">
        <v>26</v>
      </c>
      <c r="J367" s="9">
        <v>2017</v>
      </c>
      <c r="K367" s="34">
        <f>(0.69*24*92)/3</f>
        <v>507.84</v>
      </c>
      <c r="L367" s="9"/>
      <c r="M367" s="9"/>
      <c r="N367" s="9"/>
      <c r="O367" s="9"/>
      <c r="P367" s="9"/>
      <c r="Q367" s="9"/>
      <c r="R367" s="10"/>
      <c r="S367" s="10"/>
      <c r="T367" s="55"/>
      <c r="U367" s="10"/>
      <c r="V367" s="10"/>
      <c r="W367" s="10"/>
      <c r="X367" s="10">
        <v>10</v>
      </c>
      <c r="Y367" s="10">
        <v>10</v>
      </c>
      <c r="Z367" s="10">
        <v>30</v>
      </c>
      <c r="AA367" s="10">
        <v>33</v>
      </c>
      <c r="AB367" s="10">
        <v>10</v>
      </c>
      <c r="AC367" s="10"/>
      <c r="AD367" s="41"/>
    </row>
    <row r="368" spans="1:30" x14ac:dyDescent="0.2">
      <c r="A368" s="11">
        <v>8</v>
      </c>
      <c r="B368" s="39" t="s">
        <v>25</v>
      </c>
      <c r="C368" s="11">
        <v>2017</v>
      </c>
      <c r="D368" s="12" t="s">
        <v>12</v>
      </c>
      <c r="E368" s="12" t="s">
        <v>58</v>
      </c>
      <c r="F368" s="12"/>
      <c r="G368" s="12"/>
      <c r="H368" s="11"/>
      <c r="I368" s="39" t="s">
        <v>26</v>
      </c>
      <c r="J368" s="11">
        <v>2017</v>
      </c>
      <c r="K368" s="35"/>
      <c r="L368" s="11"/>
      <c r="M368" s="11"/>
      <c r="N368" s="11"/>
      <c r="O368" s="11"/>
      <c r="P368" s="11"/>
      <c r="Q368" s="11"/>
      <c r="R368" s="12"/>
      <c r="S368" s="12"/>
      <c r="T368" s="54"/>
      <c r="U368" s="12"/>
      <c r="V368" s="12"/>
      <c r="W368" s="12"/>
      <c r="X368" s="12"/>
      <c r="Y368" s="12"/>
      <c r="Z368" s="12"/>
      <c r="AA368" s="12"/>
      <c r="AB368" s="12"/>
      <c r="AC368" s="12"/>
    </row>
    <row r="369" spans="1:30" x14ac:dyDescent="0.2">
      <c r="A369" s="11">
        <v>8</v>
      </c>
      <c r="B369" s="39" t="s">
        <v>25</v>
      </c>
      <c r="C369" s="11">
        <v>2017</v>
      </c>
      <c r="D369" s="12" t="s">
        <v>15</v>
      </c>
      <c r="E369" s="12" t="s">
        <v>59</v>
      </c>
      <c r="F369" s="12"/>
      <c r="G369" s="12"/>
      <c r="H369" s="11"/>
      <c r="I369" s="39" t="s">
        <v>26</v>
      </c>
      <c r="J369" s="11">
        <v>2017</v>
      </c>
      <c r="K369" s="35">
        <f>1.74*24*31</f>
        <v>1294.56</v>
      </c>
      <c r="L369" s="11"/>
      <c r="M369" s="11"/>
      <c r="N369" s="11"/>
      <c r="O369" s="11"/>
      <c r="P369" s="11"/>
      <c r="Q369" s="11"/>
      <c r="R369" s="12"/>
      <c r="S369" s="12"/>
      <c r="T369" s="54">
        <v>15</v>
      </c>
      <c r="U369" s="12"/>
      <c r="V369" s="12">
        <v>5</v>
      </c>
      <c r="W369" s="12"/>
      <c r="X369" s="12"/>
      <c r="Y369" s="12"/>
      <c r="Z369" s="12"/>
      <c r="AA369" s="12"/>
      <c r="AB369" s="12"/>
      <c r="AC369" s="12">
        <v>10</v>
      </c>
    </row>
    <row r="370" spans="1:30" x14ac:dyDescent="0.2">
      <c r="A370" s="9">
        <v>16</v>
      </c>
      <c r="B370" s="40" t="s">
        <v>25</v>
      </c>
      <c r="C370" s="9">
        <v>2017</v>
      </c>
      <c r="D370" s="10" t="s">
        <v>6</v>
      </c>
      <c r="E370" s="10" t="s">
        <v>58</v>
      </c>
      <c r="F370" s="10"/>
      <c r="G370" s="10"/>
      <c r="H370" s="9"/>
      <c r="I370" s="40" t="s">
        <v>29</v>
      </c>
      <c r="J370" s="9">
        <v>2017</v>
      </c>
      <c r="K370" s="34">
        <f>4.02*24*365/12</f>
        <v>2934.6</v>
      </c>
      <c r="L370" s="9"/>
      <c r="M370" s="9"/>
      <c r="N370" s="9"/>
      <c r="O370" s="9">
        <v>35</v>
      </c>
      <c r="P370" s="9"/>
      <c r="Q370" s="9"/>
      <c r="R370" s="10"/>
      <c r="S370" s="10"/>
      <c r="T370" s="55">
        <v>5</v>
      </c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30" x14ac:dyDescent="0.2">
      <c r="A371" s="9">
        <v>16</v>
      </c>
      <c r="B371" s="40" t="s">
        <v>25</v>
      </c>
      <c r="C371" s="9">
        <v>2017</v>
      </c>
      <c r="D371" s="10" t="s">
        <v>14</v>
      </c>
      <c r="E371" s="10" t="s">
        <v>59</v>
      </c>
      <c r="F371" s="10"/>
      <c r="G371" s="10"/>
      <c r="H371" s="9"/>
      <c r="I371" s="40" t="s">
        <v>29</v>
      </c>
      <c r="J371" s="9">
        <v>2017</v>
      </c>
      <c r="K371" s="34">
        <f>1.51*24*365/12</f>
        <v>1102.3</v>
      </c>
      <c r="L371" s="9"/>
      <c r="M371" s="9"/>
      <c r="N371" s="9"/>
      <c r="O371" s="9"/>
      <c r="P371" s="9"/>
      <c r="Q371" s="9"/>
      <c r="R371" s="10"/>
      <c r="S371" s="10"/>
      <c r="T371" s="55"/>
      <c r="U371" s="10"/>
      <c r="V371" s="10"/>
      <c r="W371" s="10"/>
      <c r="X371" s="10"/>
      <c r="Y371" s="10">
        <v>20</v>
      </c>
      <c r="Z371" s="10"/>
      <c r="AA371" s="10"/>
      <c r="AB371" s="10"/>
      <c r="AC371" s="10"/>
      <c r="AD371" s="41"/>
    </row>
    <row r="372" spans="1:30" x14ac:dyDescent="0.2">
      <c r="A372" s="11">
        <v>6</v>
      </c>
      <c r="B372" s="39" t="s">
        <v>26</v>
      </c>
      <c r="C372" s="11">
        <v>2017</v>
      </c>
      <c r="D372" s="12" t="s">
        <v>12</v>
      </c>
      <c r="E372" s="12" t="s">
        <v>58</v>
      </c>
      <c r="F372" s="12"/>
      <c r="G372" s="12"/>
      <c r="H372" s="11"/>
      <c r="I372" s="39" t="s">
        <v>27</v>
      </c>
      <c r="J372" s="11">
        <v>2017</v>
      </c>
      <c r="K372" s="35"/>
      <c r="L372" s="11"/>
      <c r="M372" s="11"/>
      <c r="N372" s="11"/>
      <c r="O372" s="11"/>
      <c r="P372" s="11"/>
      <c r="Q372" s="11"/>
      <c r="R372" s="12"/>
      <c r="S372" s="12"/>
      <c r="T372" s="54"/>
      <c r="U372" s="12"/>
      <c r="V372" s="12"/>
      <c r="W372" s="12"/>
      <c r="X372" s="12"/>
      <c r="Y372" s="12"/>
      <c r="Z372" s="12"/>
      <c r="AA372" s="12"/>
      <c r="AB372" s="12"/>
      <c r="AC372" s="12"/>
    </row>
    <row r="373" spans="1:30" x14ac:dyDescent="0.2">
      <c r="A373" s="11">
        <v>6</v>
      </c>
      <c r="B373" s="39" t="s">
        <v>26</v>
      </c>
      <c r="C373" s="11">
        <v>2017</v>
      </c>
      <c r="D373" s="12" t="s">
        <v>15</v>
      </c>
      <c r="E373" s="12" t="s">
        <v>59</v>
      </c>
      <c r="F373" s="12"/>
      <c r="G373" s="12"/>
      <c r="H373" s="11"/>
      <c r="I373" s="39" t="s">
        <v>27</v>
      </c>
      <c r="J373" s="11">
        <v>2017</v>
      </c>
      <c r="K373" s="35">
        <f>1.87*24*31</f>
        <v>1391.28</v>
      </c>
      <c r="L373" s="11"/>
      <c r="M373" s="11"/>
      <c r="N373" s="11"/>
      <c r="O373" s="11"/>
      <c r="P373" s="11"/>
      <c r="Q373" s="11"/>
      <c r="R373" s="12"/>
      <c r="S373" s="12"/>
      <c r="T373" s="54">
        <v>15</v>
      </c>
      <c r="U373" s="12"/>
      <c r="V373" s="12"/>
      <c r="W373" s="12"/>
      <c r="X373" s="12">
        <v>5</v>
      </c>
      <c r="Y373" s="12"/>
      <c r="Z373" s="12">
        <v>10</v>
      </c>
      <c r="AA373" s="12"/>
      <c r="AB373" s="12"/>
      <c r="AC373" s="12"/>
    </row>
    <row r="374" spans="1:30" x14ac:dyDescent="0.2">
      <c r="A374" s="9">
        <v>18</v>
      </c>
      <c r="B374" s="40" t="s">
        <v>26</v>
      </c>
      <c r="C374" s="9">
        <v>2017</v>
      </c>
      <c r="D374" s="10" t="s">
        <v>6</v>
      </c>
      <c r="E374" s="10" t="s">
        <v>58</v>
      </c>
      <c r="F374" s="10"/>
      <c r="G374" s="10"/>
      <c r="H374" s="9"/>
      <c r="I374" s="40" t="s">
        <v>29</v>
      </c>
      <c r="J374" s="9">
        <v>2017</v>
      </c>
      <c r="K374" s="34">
        <f>3.63*24*365/12</f>
        <v>2649.9</v>
      </c>
      <c r="L374" s="9">
        <v>30</v>
      </c>
      <c r="M374" s="9"/>
      <c r="N374" s="9"/>
      <c r="O374" s="9">
        <v>11</v>
      </c>
      <c r="P374" s="9"/>
      <c r="Q374" s="9"/>
      <c r="R374" s="10"/>
      <c r="S374" s="10"/>
      <c r="T374" s="55">
        <v>35</v>
      </c>
      <c r="U374" s="10"/>
      <c r="V374" s="10">
        <v>4</v>
      </c>
      <c r="W374" s="10"/>
      <c r="X374" s="10"/>
      <c r="Y374" s="10"/>
      <c r="Z374" s="10"/>
      <c r="AA374" s="10"/>
      <c r="AB374" s="10"/>
      <c r="AC374" s="10"/>
    </row>
    <row r="375" spans="1:30" x14ac:dyDescent="0.2">
      <c r="A375" s="9">
        <v>18</v>
      </c>
      <c r="B375" s="40" t="s">
        <v>26</v>
      </c>
      <c r="C375" s="9">
        <v>2017</v>
      </c>
      <c r="D375" s="10" t="s">
        <v>14</v>
      </c>
      <c r="E375" s="10" t="s">
        <v>59</v>
      </c>
      <c r="F375" s="10"/>
      <c r="G375" s="10"/>
      <c r="H375" s="9"/>
      <c r="I375" s="40" t="s">
        <v>29</v>
      </c>
      <c r="J375" s="9">
        <v>2017</v>
      </c>
      <c r="K375" s="34">
        <f>1.71*24*365/12</f>
        <v>1248.3</v>
      </c>
      <c r="L375" s="9"/>
      <c r="M375" s="9"/>
      <c r="N375" s="9"/>
      <c r="O375" s="9"/>
      <c r="P375" s="9"/>
      <c r="Q375" s="9"/>
      <c r="R375" s="10"/>
      <c r="S375" s="10"/>
      <c r="T375" s="55"/>
      <c r="U375" s="10"/>
      <c r="V375" s="10"/>
      <c r="W375" s="10"/>
      <c r="X375" s="10">
        <v>7</v>
      </c>
      <c r="Y375" s="10"/>
      <c r="Z375" s="10">
        <v>13</v>
      </c>
      <c r="AA375" s="10"/>
      <c r="AB375" s="10"/>
      <c r="AC375" s="10"/>
      <c r="AD375" s="41"/>
    </row>
    <row r="376" spans="1:30" x14ac:dyDescent="0.2">
      <c r="A376" s="11">
        <v>10</v>
      </c>
      <c r="B376" s="39" t="s">
        <v>27</v>
      </c>
      <c r="C376" s="11">
        <v>2017</v>
      </c>
      <c r="D376" s="12" t="s">
        <v>12</v>
      </c>
      <c r="E376" s="12" t="s">
        <v>58</v>
      </c>
      <c r="F376" s="12"/>
      <c r="G376" s="12"/>
      <c r="H376" s="11"/>
      <c r="I376" s="39" t="s">
        <v>28</v>
      </c>
      <c r="J376" s="11">
        <v>2017</v>
      </c>
      <c r="K376" s="35">
        <f>0.82*24*30</f>
        <v>590.4</v>
      </c>
      <c r="L376" s="11"/>
      <c r="M376" s="11"/>
      <c r="N376" s="11">
        <v>10</v>
      </c>
      <c r="O376" s="11"/>
      <c r="P376" s="11"/>
      <c r="Q376" s="11"/>
      <c r="R376" s="12"/>
      <c r="S376" s="12"/>
      <c r="T376" s="54">
        <v>25</v>
      </c>
      <c r="U376" s="12"/>
      <c r="V376" s="12"/>
      <c r="W376" s="12"/>
      <c r="X376" s="12"/>
      <c r="Y376" s="12"/>
      <c r="Z376" s="12"/>
      <c r="AA376" s="12"/>
      <c r="AB376" s="12"/>
      <c r="AC376" s="12"/>
    </row>
    <row r="377" spans="1:30" x14ac:dyDescent="0.2">
      <c r="A377" s="11">
        <v>10</v>
      </c>
      <c r="B377" s="39" t="s">
        <v>27</v>
      </c>
      <c r="C377" s="11">
        <v>2017</v>
      </c>
      <c r="D377" s="12" t="s">
        <v>15</v>
      </c>
      <c r="E377" s="12" t="s">
        <v>59</v>
      </c>
      <c r="F377" s="12"/>
      <c r="G377" s="12"/>
      <c r="H377" s="11"/>
      <c r="I377" s="39" t="s">
        <v>28</v>
      </c>
      <c r="J377" s="11">
        <v>2017</v>
      </c>
      <c r="K377" s="35">
        <f>2.79*24*30</f>
        <v>2008.8000000000002</v>
      </c>
      <c r="L377" s="11"/>
      <c r="M377" s="11"/>
      <c r="N377" s="11"/>
      <c r="O377" s="11"/>
      <c r="P377" s="11"/>
      <c r="Q377" s="11"/>
      <c r="R377" s="12"/>
      <c r="S377" s="12"/>
      <c r="T377" s="54">
        <v>10</v>
      </c>
      <c r="U377" s="12"/>
      <c r="V377" s="12"/>
      <c r="W377" s="12"/>
      <c r="X377" s="12">
        <v>10</v>
      </c>
      <c r="Y377" s="12"/>
      <c r="Z377" s="12">
        <v>10</v>
      </c>
      <c r="AA377" s="12"/>
      <c r="AB377" s="12"/>
      <c r="AC377" s="12"/>
    </row>
    <row r="378" spans="1:30" x14ac:dyDescent="0.2">
      <c r="A378" s="9">
        <v>15</v>
      </c>
      <c r="B378" s="40" t="s">
        <v>27</v>
      </c>
      <c r="C378" s="9">
        <v>2017</v>
      </c>
      <c r="D378" s="10" t="s">
        <v>6</v>
      </c>
      <c r="E378" s="10" t="s">
        <v>58</v>
      </c>
      <c r="F378" s="10"/>
      <c r="G378" s="10"/>
      <c r="H378" s="9"/>
      <c r="I378" s="40" t="s">
        <v>29</v>
      </c>
      <c r="J378" s="9">
        <v>2017</v>
      </c>
      <c r="K378" s="34">
        <f>3.41*24*365/12</f>
        <v>2489.3000000000002</v>
      </c>
      <c r="L378" s="9">
        <v>25</v>
      </c>
      <c r="M378" s="9"/>
      <c r="N378" s="9">
        <v>15</v>
      </c>
      <c r="O378" s="9">
        <v>30</v>
      </c>
      <c r="P378" s="9"/>
      <c r="Q378" s="9"/>
      <c r="R378" s="10"/>
      <c r="S378" s="10"/>
      <c r="T378" s="55">
        <v>25</v>
      </c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30" x14ac:dyDescent="0.2">
      <c r="A379" s="9">
        <v>15</v>
      </c>
      <c r="B379" s="40" t="s">
        <v>27</v>
      </c>
      <c r="C379" s="9">
        <v>2017</v>
      </c>
      <c r="D379" s="10" t="s">
        <v>14</v>
      </c>
      <c r="E379" s="10" t="s">
        <v>59</v>
      </c>
      <c r="F379" s="10"/>
      <c r="G379" s="10"/>
      <c r="H379" s="9"/>
      <c r="I379" s="40" t="s">
        <v>29</v>
      </c>
      <c r="J379" s="9">
        <v>2017</v>
      </c>
      <c r="K379" s="34">
        <f>1.81*24*365/12</f>
        <v>1321.3</v>
      </c>
      <c r="L379" s="9"/>
      <c r="M379" s="9"/>
      <c r="N379" s="9"/>
      <c r="O379" s="9"/>
      <c r="P379" s="9"/>
      <c r="Q379" s="9"/>
      <c r="R379" s="10"/>
      <c r="S379" s="10"/>
      <c r="T379" s="55"/>
      <c r="U379" s="10"/>
      <c r="V379" s="10">
        <v>2</v>
      </c>
      <c r="W379" s="10"/>
      <c r="X379" s="10">
        <v>1</v>
      </c>
      <c r="Y379" s="10"/>
      <c r="Z379" s="10">
        <v>6</v>
      </c>
      <c r="AA379" s="10"/>
      <c r="AB379" s="10"/>
      <c r="AC379" s="10">
        <v>10</v>
      </c>
      <c r="AD379" s="4"/>
    </row>
    <row r="380" spans="1:30" x14ac:dyDescent="0.2">
      <c r="A380" s="11">
        <v>16</v>
      </c>
      <c r="B380" s="39" t="s">
        <v>27</v>
      </c>
      <c r="C380" s="11">
        <v>2017</v>
      </c>
      <c r="D380" s="12" t="s">
        <v>48</v>
      </c>
      <c r="E380" s="12" t="s">
        <v>58</v>
      </c>
      <c r="F380" s="12"/>
      <c r="G380" s="12"/>
      <c r="H380" s="11"/>
      <c r="I380" s="39" t="s">
        <v>29</v>
      </c>
      <c r="J380" s="11">
        <v>2017</v>
      </c>
      <c r="K380" s="35">
        <f>3.65*24*182/6</f>
        <v>2657.2</v>
      </c>
      <c r="L380" s="11">
        <v>15</v>
      </c>
      <c r="M380" s="11"/>
      <c r="N380" s="11">
        <v>5</v>
      </c>
      <c r="O380" s="11"/>
      <c r="P380" s="11"/>
      <c r="Q380" s="11"/>
      <c r="R380" s="12"/>
      <c r="S380" s="12"/>
      <c r="T380" s="54">
        <v>10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4"/>
    </row>
    <row r="381" spans="1:30" x14ac:dyDescent="0.2">
      <c r="A381" s="11">
        <v>16</v>
      </c>
      <c r="B381" s="39" t="s">
        <v>27</v>
      </c>
      <c r="C381" s="11">
        <v>2017</v>
      </c>
      <c r="D381" s="12" t="s">
        <v>66</v>
      </c>
      <c r="E381" s="12" t="s">
        <v>59</v>
      </c>
      <c r="F381" s="12"/>
      <c r="G381" s="12"/>
      <c r="H381" s="11"/>
      <c r="I381" s="39" t="s">
        <v>29</v>
      </c>
      <c r="J381" s="11">
        <v>2017</v>
      </c>
      <c r="K381" s="35">
        <f>1.84*24*182/6</f>
        <v>1339.5200000000002</v>
      </c>
      <c r="L381" s="11"/>
      <c r="M381" s="11"/>
      <c r="N381" s="11"/>
      <c r="O381" s="11"/>
      <c r="P381" s="11"/>
      <c r="Q381" s="11"/>
      <c r="R381" s="12"/>
      <c r="S381" s="12"/>
      <c r="T381" s="54"/>
      <c r="U381" s="12"/>
      <c r="V381" s="12">
        <v>2</v>
      </c>
      <c r="W381" s="12"/>
      <c r="X381" s="12">
        <v>4</v>
      </c>
      <c r="Y381" s="12">
        <v>4</v>
      </c>
      <c r="Z381" s="12"/>
      <c r="AA381" s="12"/>
      <c r="AB381" s="12"/>
      <c r="AC381" s="12"/>
      <c r="AD381" s="4"/>
    </row>
    <row r="382" spans="1:30" x14ac:dyDescent="0.2">
      <c r="A382" s="9">
        <v>23</v>
      </c>
      <c r="B382" s="40" t="s">
        <v>27</v>
      </c>
      <c r="C382" s="9">
        <v>2017</v>
      </c>
      <c r="D382" s="10" t="s">
        <v>49</v>
      </c>
      <c r="E382" s="10" t="s">
        <v>58</v>
      </c>
      <c r="F382" s="10"/>
      <c r="G382" s="10"/>
      <c r="H382" s="9"/>
      <c r="I382" s="40" t="s">
        <v>29</v>
      </c>
      <c r="J382" s="9">
        <v>2017</v>
      </c>
      <c r="K382" s="34">
        <f>2.05*24*91/3</f>
        <v>1492.3999999999999</v>
      </c>
      <c r="L382" s="9"/>
      <c r="M382" s="9"/>
      <c r="N382" s="9">
        <v>79</v>
      </c>
      <c r="O382" s="9">
        <v>21</v>
      </c>
      <c r="P382" s="9"/>
      <c r="Q382" s="9"/>
      <c r="R382" s="10"/>
      <c r="S382" s="10"/>
      <c r="T382" s="55"/>
      <c r="U382" s="10"/>
      <c r="V382" s="10"/>
      <c r="W382" s="10"/>
      <c r="X382" s="10"/>
      <c r="Y382" s="10"/>
      <c r="Z382" s="10"/>
      <c r="AA382" s="10"/>
      <c r="AB382" s="10"/>
      <c r="AC382" s="10"/>
      <c r="AD382" s="4"/>
    </row>
    <row r="383" spans="1:30" x14ac:dyDescent="0.2">
      <c r="A383" s="9">
        <v>23</v>
      </c>
      <c r="B383" s="40" t="s">
        <v>27</v>
      </c>
      <c r="C383" s="9">
        <v>2017</v>
      </c>
      <c r="D383" s="10" t="s">
        <v>65</v>
      </c>
      <c r="E383" s="10" t="s">
        <v>59</v>
      </c>
      <c r="F383" s="10"/>
      <c r="G383" s="10"/>
      <c r="H383" s="9"/>
      <c r="I383" s="40" t="s">
        <v>29</v>
      </c>
      <c r="J383" s="9">
        <v>2017</v>
      </c>
      <c r="K383" s="34">
        <f>2.41*24*91/3</f>
        <v>1754.4800000000002</v>
      </c>
      <c r="L383" s="9"/>
      <c r="M383" s="9"/>
      <c r="N383" s="9"/>
      <c r="O383" s="9"/>
      <c r="P383" s="9"/>
      <c r="Q383" s="9"/>
      <c r="R383" s="10"/>
      <c r="S383" s="10"/>
      <c r="T383" s="55"/>
      <c r="U383" s="10"/>
      <c r="V383" s="10"/>
      <c r="W383" s="10"/>
      <c r="X383" s="10"/>
      <c r="Y383" s="10">
        <v>5</v>
      </c>
      <c r="Z383" s="10"/>
      <c r="AA383" s="10"/>
      <c r="AB383" s="10"/>
      <c r="AC383" s="10"/>
      <c r="AD383" s="4"/>
    </row>
    <row r="384" spans="1:30" x14ac:dyDescent="0.2">
      <c r="A384" s="11">
        <v>6</v>
      </c>
      <c r="B384" s="39" t="s">
        <v>28</v>
      </c>
      <c r="C384" s="11">
        <v>2017</v>
      </c>
      <c r="D384" s="12" t="s">
        <v>12</v>
      </c>
      <c r="E384" s="12" t="s">
        <v>58</v>
      </c>
      <c r="F384" s="12"/>
      <c r="G384" s="12"/>
      <c r="H384" s="11"/>
      <c r="I384" s="39" t="s">
        <v>29</v>
      </c>
      <c r="J384" s="11">
        <v>2017</v>
      </c>
      <c r="K384" s="35">
        <f>3.31*24*31</f>
        <v>2462.64</v>
      </c>
      <c r="L384" s="11"/>
      <c r="M384" s="11"/>
      <c r="N384" s="11">
        <v>35</v>
      </c>
      <c r="O384" s="11"/>
      <c r="P384" s="11"/>
      <c r="Q384" s="11"/>
      <c r="R384" s="12"/>
      <c r="S384" s="12"/>
      <c r="T384" s="54">
        <v>60</v>
      </c>
      <c r="U384" s="12"/>
      <c r="V384" s="12"/>
      <c r="W384" s="12"/>
      <c r="X384" s="12"/>
      <c r="Y384" s="12"/>
      <c r="Z384" s="12"/>
      <c r="AA384" s="12">
        <v>5</v>
      </c>
      <c r="AB384" s="12">
        <v>20</v>
      </c>
      <c r="AC384" s="12"/>
      <c r="AD384" s="4"/>
    </row>
    <row r="385" spans="1:30" x14ac:dyDescent="0.2">
      <c r="A385" s="11">
        <v>6</v>
      </c>
      <c r="B385" s="39" t="s">
        <v>28</v>
      </c>
      <c r="C385" s="11">
        <v>2017</v>
      </c>
      <c r="D385" s="12" t="s">
        <v>15</v>
      </c>
      <c r="E385" s="12" t="s">
        <v>59</v>
      </c>
      <c r="F385" s="12"/>
      <c r="G385" s="12"/>
      <c r="H385" s="11"/>
      <c r="I385" s="39" t="s">
        <v>29</v>
      </c>
      <c r="J385" s="11">
        <v>2017</v>
      </c>
      <c r="K385" s="35">
        <f>1.85*24*31</f>
        <v>1376.4</v>
      </c>
      <c r="L385" s="11"/>
      <c r="M385" s="11"/>
      <c r="N385" s="11"/>
      <c r="O385" s="11"/>
      <c r="P385" s="11"/>
      <c r="Q385" s="11"/>
      <c r="R385" s="12"/>
      <c r="S385" s="12"/>
      <c r="T385" s="54"/>
      <c r="U385" s="12"/>
      <c r="V385" s="12"/>
      <c r="W385" s="12"/>
      <c r="X385" s="12">
        <v>2</v>
      </c>
      <c r="Y385" s="12">
        <v>62</v>
      </c>
      <c r="Z385" s="12"/>
      <c r="AA385" s="12">
        <v>25</v>
      </c>
      <c r="AB385" s="12"/>
      <c r="AC385" s="12"/>
      <c r="AD385" s="4"/>
    </row>
    <row r="386" spans="1:30" x14ac:dyDescent="0.2">
      <c r="A386" s="9">
        <v>12</v>
      </c>
      <c r="B386" s="40" t="s">
        <v>29</v>
      </c>
      <c r="C386" s="9">
        <v>2017</v>
      </c>
      <c r="D386" s="10" t="s">
        <v>12</v>
      </c>
      <c r="E386" s="10" t="s">
        <v>58</v>
      </c>
      <c r="F386" s="10"/>
      <c r="G386" s="10"/>
      <c r="H386" s="9"/>
      <c r="I386" s="40" t="s">
        <v>30</v>
      </c>
      <c r="J386" s="9">
        <v>2017</v>
      </c>
      <c r="K386" s="34">
        <f>0.93*24*30</f>
        <v>669.6</v>
      </c>
      <c r="L386" s="9">
        <v>30</v>
      </c>
      <c r="M386" s="9"/>
      <c r="N386" s="9"/>
      <c r="O386" s="9"/>
      <c r="P386" s="9"/>
      <c r="Q386" s="9"/>
      <c r="R386" s="10"/>
      <c r="S386" s="10"/>
      <c r="T386" s="55">
        <v>20</v>
      </c>
      <c r="U386" s="10"/>
      <c r="V386" s="10">
        <v>21</v>
      </c>
      <c r="W386" s="10"/>
      <c r="X386" s="10">
        <v>50</v>
      </c>
      <c r="Y386" s="10"/>
      <c r="Z386" s="10">
        <v>34</v>
      </c>
      <c r="AA386" s="10">
        <v>10</v>
      </c>
      <c r="AB386" s="10"/>
      <c r="AC386" s="10"/>
      <c r="AD386" s="4"/>
    </row>
    <row r="387" spans="1:30" x14ac:dyDescent="0.2">
      <c r="A387" s="9">
        <v>12</v>
      </c>
      <c r="B387" s="40" t="s">
        <v>29</v>
      </c>
      <c r="C387" s="9">
        <v>2017</v>
      </c>
      <c r="D387" s="10" t="s">
        <v>15</v>
      </c>
      <c r="E387" s="10" t="s">
        <v>59</v>
      </c>
      <c r="F387" s="10"/>
      <c r="G387" s="10"/>
      <c r="H387" s="9"/>
      <c r="I387" s="40" t="s">
        <v>30</v>
      </c>
      <c r="J387" s="9">
        <v>2017</v>
      </c>
      <c r="K387" s="34">
        <f>2.53*24*30</f>
        <v>1821.6</v>
      </c>
      <c r="L387" s="9"/>
      <c r="M387" s="9"/>
      <c r="N387" s="9"/>
      <c r="O387" s="9"/>
      <c r="P387" s="9"/>
      <c r="Q387" s="9"/>
      <c r="R387" s="10"/>
      <c r="S387" s="10"/>
      <c r="T387" s="55">
        <v>8</v>
      </c>
      <c r="U387" s="10"/>
      <c r="V387" s="10"/>
      <c r="W387" s="10"/>
      <c r="X387" s="10"/>
      <c r="Y387" s="10">
        <v>14</v>
      </c>
      <c r="Z387" s="10"/>
      <c r="AA387" s="10"/>
      <c r="AB387" s="10"/>
      <c r="AC387" s="10"/>
      <c r="AD387" s="4"/>
    </row>
    <row r="388" spans="1:30" x14ac:dyDescent="0.2">
      <c r="A388" s="11">
        <v>7</v>
      </c>
      <c r="B388" s="39" t="s">
        <v>30</v>
      </c>
      <c r="C388" s="11">
        <v>2017</v>
      </c>
      <c r="D388" s="12" t="s">
        <v>12</v>
      </c>
      <c r="E388" s="12" t="s">
        <v>58</v>
      </c>
      <c r="F388" s="12"/>
      <c r="G388" s="12"/>
      <c r="H388" s="11"/>
      <c r="I388" s="39" t="s">
        <v>31</v>
      </c>
      <c r="J388" s="11">
        <v>2017</v>
      </c>
      <c r="K388" s="35">
        <f>1.75*24*31</f>
        <v>1302</v>
      </c>
      <c r="L388" s="11"/>
      <c r="M388" s="11"/>
      <c r="N388" s="11"/>
      <c r="O388" s="11"/>
      <c r="P388" s="11"/>
      <c r="Q388" s="11"/>
      <c r="R388" s="12"/>
      <c r="S388" s="12"/>
      <c r="T388" s="54">
        <v>30</v>
      </c>
      <c r="U388" s="12"/>
      <c r="V388" s="12">
        <v>5</v>
      </c>
      <c r="W388" s="12"/>
      <c r="X388" s="12">
        <v>5</v>
      </c>
      <c r="Y388" s="12"/>
      <c r="Z388" s="12">
        <v>45</v>
      </c>
      <c r="AA388" s="12">
        <v>15</v>
      </c>
      <c r="AB388" s="12"/>
      <c r="AC388" s="12"/>
      <c r="AD388" s="4"/>
    </row>
    <row r="389" spans="1:30" x14ac:dyDescent="0.2">
      <c r="A389" s="11">
        <v>7</v>
      </c>
      <c r="B389" s="39" t="s">
        <v>30</v>
      </c>
      <c r="C389" s="11">
        <v>2017</v>
      </c>
      <c r="D389" s="12" t="s">
        <v>15</v>
      </c>
      <c r="E389" s="12" t="s">
        <v>59</v>
      </c>
      <c r="F389" s="12"/>
      <c r="G389" s="12"/>
      <c r="H389" s="11"/>
      <c r="I389" s="39" t="s">
        <v>31</v>
      </c>
      <c r="J389" s="11">
        <v>2017</v>
      </c>
      <c r="K389" s="35">
        <f>1.83*24*31</f>
        <v>1361.52</v>
      </c>
      <c r="L389" s="11"/>
      <c r="M389" s="11"/>
      <c r="N389" s="11"/>
      <c r="O389" s="11"/>
      <c r="P389" s="11"/>
      <c r="Q389" s="11"/>
      <c r="R389" s="12"/>
      <c r="S389" s="12"/>
      <c r="T389" s="54">
        <v>4</v>
      </c>
      <c r="U389" s="12"/>
      <c r="V389" s="12">
        <v>13</v>
      </c>
      <c r="W389" s="12"/>
      <c r="X389" s="12"/>
      <c r="Y389" s="12"/>
      <c r="Z389" s="12"/>
      <c r="AA389" s="12"/>
      <c r="AB389" s="12"/>
      <c r="AC389" s="12">
        <v>5</v>
      </c>
      <c r="AD389" s="4"/>
    </row>
    <row r="390" spans="1:30" x14ac:dyDescent="0.2">
      <c r="A390" s="9">
        <v>14</v>
      </c>
      <c r="B390" s="40" t="s">
        <v>30</v>
      </c>
      <c r="C390" s="9">
        <v>2017</v>
      </c>
      <c r="D390" s="10" t="s">
        <v>49</v>
      </c>
      <c r="E390" s="10" t="s">
        <v>58</v>
      </c>
      <c r="F390" s="10"/>
      <c r="G390" s="10"/>
      <c r="H390" s="9"/>
      <c r="I390" s="40" t="s">
        <v>20</v>
      </c>
      <c r="J390" s="9">
        <v>2018</v>
      </c>
      <c r="K390" s="34">
        <f>4.1*24*(31+28+31)/3</f>
        <v>2952</v>
      </c>
      <c r="L390" s="9"/>
      <c r="M390" s="9"/>
      <c r="N390" s="9"/>
      <c r="O390" s="9"/>
      <c r="P390" s="9"/>
      <c r="Q390" s="9"/>
      <c r="R390" s="10"/>
      <c r="S390" s="10"/>
      <c r="T390" s="55">
        <v>70</v>
      </c>
      <c r="U390" s="10"/>
      <c r="V390" s="10">
        <v>15</v>
      </c>
      <c r="W390" s="10"/>
      <c r="X390" s="10"/>
      <c r="Y390" s="10"/>
      <c r="Z390" s="10">
        <v>10</v>
      </c>
      <c r="AA390" s="10">
        <v>5</v>
      </c>
      <c r="AB390" s="10"/>
      <c r="AC390" s="10"/>
      <c r="AD390" s="4"/>
    </row>
    <row r="391" spans="1:30" x14ac:dyDescent="0.2">
      <c r="A391" s="9">
        <v>14</v>
      </c>
      <c r="B391" s="40" t="s">
        <v>30</v>
      </c>
      <c r="C391" s="9">
        <v>2017</v>
      </c>
      <c r="D391" s="10" t="s">
        <v>65</v>
      </c>
      <c r="E391" s="10" t="s">
        <v>59</v>
      </c>
      <c r="F391" s="10"/>
      <c r="G391" s="10"/>
      <c r="H391" s="9"/>
      <c r="I391" s="40" t="s">
        <v>20</v>
      </c>
      <c r="J391" s="9">
        <v>2018</v>
      </c>
      <c r="K391" s="34">
        <f>1.7*24*(31+28+31)/3</f>
        <v>1223.9999999999998</v>
      </c>
      <c r="L391" s="9"/>
      <c r="M391" s="9"/>
      <c r="N391" s="9"/>
      <c r="O391" s="9"/>
      <c r="P391" s="9"/>
      <c r="Q391" s="9"/>
      <c r="R391" s="10"/>
      <c r="S391" s="10"/>
      <c r="T391" s="55">
        <v>2</v>
      </c>
      <c r="U391" s="10"/>
      <c r="V391" s="10">
        <v>1</v>
      </c>
      <c r="W391" s="10"/>
      <c r="X391" s="10"/>
      <c r="Y391" s="10">
        <v>2</v>
      </c>
      <c r="Z391" s="10"/>
      <c r="AA391" s="10"/>
      <c r="AB391" s="10"/>
      <c r="AC391" s="10"/>
      <c r="AD391" s="4"/>
    </row>
    <row r="392" spans="1:30" x14ac:dyDescent="0.2">
      <c r="A392" s="63">
        <v>7</v>
      </c>
      <c r="B392" s="64" t="s">
        <v>31</v>
      </c>
      <c r="C392" s="63">
        <v>2017</v>
      </c>
      <c r="D392" s="65" t="s">
        <v>12</v>
      </c>
      <c r="E392" s="65" t="s">
        <v>58</v>
      </c>
      <c r="F392" s="65"/>
      <c r="G392" s="65"/>
      <c r="H392" s="63"/>
      <c r="I392" s="64" t="s">
        <v>20</v>
      </c>
      <c r="J392" s="63">
        <v>2018</v>
      </c>
      <c r="K392" s="66">
        <f>4.01*24*31</f>
        <v>2983.44</v>
      </c>
      <c r="L392" s="63"/>
      <c r="M392" s="63"/>
      <c r="N392" s="63">
        <v>115</v>
      </c>
      <c r="O392" s="63"/>
      <c r="P392" s="63"/>
      <c r="Q392" s="63"/>
      <c r="R392" s="65"/>
      <c r="S392" s="65"/>
      <c r="T392" s="67">
        <v>50</v>
      </c>
      <c r="U392" s="65"/>
      <c r="V392" s="65"/>
      <c r="W392" s="65"/>
      <c r="X392" s="65">
        <v>25</v>
      </c>
      <c r="Y392" s="65"/>
      <c r="Z392" s="65">
        <v>20</v>
      </c>
      <c r="AA392" s="65">
        <v>10</v>
      </c>
      <c r="AB392" s="65"/>
      <c r="AC392" s="65"/>
      <c r="AD392" s="4"/>
    </row>
    <row r="393" spans="1:30" x14ac:dyDescent="0.2">
      <c r="A393" s="63">
        <v>7</v>
      </c>
      <c r="B393" s="64" t="s">
        <v>31</v>
      </c>
      <c r="C393" s="63">
        <v>2017</v>
      </c>
      <c r="D393" s="65" t="s">
        <v>15</v>
      </c>
      <c r="E393" s="65" t="s">
        <v>59</v>
      </c>
      <c r="F393" s="65"/>
      <c r="G393" s="65"/>
      <c r="H393" s="63"/>
      <c r="I393" s="64" t="s">
        <v>20</v>
      </c>
      <c r="J393" s="63">
        <v>2018</v>
      </c>
      <c r="K393" s="66">
        <f>1.71*24*31</f>
        <v>1272.24</v>
      </c>
      <c r="L393" s="63"/>
      <c r="M393" s="63"/>
      <c r="N393" s="63"/>
      <c r="O393" s="63"/>
      <c r="P393" s="63"/>
      <c r="Q393" s="63"/>
      <c r="R393" s="65"/>
      <c r="S393" s="65"/>
      <c r="T393" s="67">
        <v>5</v>
      </c>
      <c r="U393" s="65"/>
      <c r="V393" s="65"/>
      <c r="W393" s="65"/>
      <c r="X393" s="65">
        <v>12</v>
      </c>
      <c r="Y393" s="65"/>
      <c r="Z393" s="65"/>
      <c r="AA393" s="65">
        <v>5</v>
      </c>
      <c r="AB393" s="65"/>
      <c r="AC393" s="65"/>
      <c r="AD393" s="4"/>
    </row>
    <row r="394" spans="1:30" x14ac:dyDescent="0.2">
      <c r="A394" s="9">
        <v>8</v>
      </c>
      <c r="B394" s="40" t="s">
        <v>20</v>
      </c>
      <c r="C394" s="9">
        <v>2018</v>
      </c>
      <c r="D394" s="10" t="s">
        <v>12</v>
      </c>
      <c r="E394" s="10" t="s">
        <v>58</v>
      </c>
      <c r="F394" s="10"/>
      <c r="G394" s="10"/>
      <c r="H394" s="9"/>
      <c r="I394" s="40" t="s">
        <v>21</v>
      </c>
      <c r="J394" s="9">
        <v>2018</v>
      </c>
      <c r="K394" s="34">
        <f>4.93*24*28</f>
        <v>3312.96</v>
      </c>
      <c r="L394" s="9">
        <v>20</v>
      </c>
      <c r="M394" s="9"/>
      <c r="N394" s="9">
        <v>60</v>
      </c>
      <c r="O394" s="9"/>
      <c r="P394" s="9"/>
      <c r="Q394" s="9"/>
      <c r="R394" s="10"/>
      <c r="S394" s="10"/>
      <c r="T394" s="55">
        <v>50</v>
      </c>
      <c r="U394" s="10"/>
      <c r="V394" s="10"/>
      <c r="W394" s="10"/>
      <c r="X394" s="10"/>
      <c r="Y394" s="10"/>
      <c r="Z394" s="10"/>
      <c r="AA394" s="10"/>
      <c r="AB394" s="10"/>
      <c r="AC394" s="10"/>
      <c r="AD394" s="4"/>
    </row>
    <row r="395" spans="1:30" x14ac:dyDescent="0.2">
      <c r="A395" s="9">
        <v>8</v>
      </c>
      <c r="B395" s="40" t="s">
        <v>20</v>
      </c>
      <c r="C395" s="9">
        <v>2018</v>
      </c>
      <c r="D395" s="10" t="s">
        <v>15</v>
      </c>
      <c r="E395" s="10" t="s">
        <v>59</v>
      </c>
      <c r="F395" s="10"/>
      <c r="G395" s="10"/>
      <c r="H395" s="9"/>
      <c r="I395" s="40" t="s">
        <v>21</v>
      </c>
      <c r="J395" s="9">
        <v>2018</v>
      </c>
      <c r="K395" s="34">
        <f>1.76*24*28</f>
        <v>1182.72</v>
      </c>
      <c r="L395" s="9"/>
      <c r="M395" s="9"/>
      <c r="N395" s="9"/>
      <c r="O395" s="9"/>
      <c r="P395" s="9"/>
      <c r="Q395" s="9"/>
      <c r="R395" s="10"/>
      <c r="S395" s="10"/>
      <c r="T395" s="55">
        <v>4</v>
      </c>
      <c r="U395" s="10"/>
      <c r="V395" s="10">
        <v>6</v>
      </c>
      <c r="W395" s="10"/>
      <c r="X395" s="10">
        <v>12</v>
      </c>
      <c r="Y395" s="10"/>
      <c r="Z395" s="10"/>
      <c r="AA395" s="10"/>
      <c r="AB395" s="10"/>
      <c r="AC395" s="10"/>
    </row>
    <row r="397" spans="1:30" x14ac:dyDescent="0.2">
      <c r="A397" s="5"/>
      <c r="B397" s="5"/>
      <c r="C397" s="5"/>
      <c r="D397" s="5"/>
      <c r="H397" s="1"/>
      <c r="I397" s="1"/>
      <c r="J397" s="1"/>
      <c r="K397" s="36"/>
    </row>
    <row r="398" spans="1:30" x14ac:dyDescent="0.2">
      <c r="A398" s="5"/>
      <c r="B398" s="5"/>
      <c r="C398" s="5"/>
      <c r="D398" s="5"/>
      <c r="H398" s="1"/>
      <c r="I398" s="1"/>
      <c r="J398" s="1"/>
      <c r="K398" s="36"/>
    </row>
    <row r="399" spans="1:30" x14ac:dyDescent="0.2">
      <c r="A399" s="1"/>
      <c r="B399" s="1"/>
      <c r="C399" s="1"/>
      <c r="H399" s="1"/>
      <c r="I399" s="1"/>
      <c r="J399" s="1"/>
      <c r="K399" s="36"/>
    </row>
    <row r="400" spans="1:30" x14ac:dyDescent="0.2">
      <c r="A400" s="1"/>
      <c r="B400" s="1"/>
      <c r="C400" s="1"/>
      <c r="H400" s="1"/>
      <c r="I400" s="1"/>
      <c r="J400" s="1"/>
      <c r="K400" s="36"/>
    </row>
    <row r="401" spans="1:11" x14ac:dyDescent="0.2">
      <c r="A401" s="1"/>
      <c r="B401" s="1"/>
      <c r="C401" s="1"/>
      <c r="H401" s="1"/>
      <c r="I401" s="1"/>
      <c r="J401" s="1"/>
      <c r="K401" s="36"/>
    </row>
    <row r="402" spans="1:11" x14ac:dyDescent="0.2">
      <c r="A402" s="1"/>
      <c r="B402" s="1"/>
      <c r="C402" s="1"/>
      <c r="H402" s="1"/>
      <c r="I402" s="1"/>
      <c r="J402" s="1"/>
      <c r="K402" s="36"/>
    </row>
    <row r="403" spans="1:11" x14ac:dyDescent="0.2">
      <c r="A403" s="1"/>
      <c r="B403" s="1"/>
      <c r="C403" s="1"/>
      <c r="H403" s="1"/>
      <c r="I403" s="1"/>
      <c r="J403" s="1"/>
      <c r="K403" s="36"/>
    </row>
    <row r="404" spans="1:11" x14ac:dyDescent="0.2">
      <c r="A404" s="1"/>
      <c r="B404" s="1"/>
      <c r="C404" s="1"/>
      <c r="H404" s="1"/>
      <c r="I404" s="1"/>
      <c r="J404" s="1"/>
      <c r="K404" s="36"/>
    </row>
    <row r="405" spans="1:11" x14ac:dyDescent="0.2">
      <c r="A405" s="1"/>
      <c r="B405" s="1"/>
      <c r="C405" s="1"/>
      <c r="H405" s="1"/>
      <c r="I405" s="1"/>
      <c r="J405" s="1"/>
      <c r="K405" s="36"/>
    </row>
    <row r="406" spans="1:11" x14ac:dyDescent="0.2">
      <c r="A406" s="1"/>
      <c r="B406" s="1"/>
      <c r="C406" s="1"/>
      <c r="H406" s="1"/>
      <c r="I406" s="1"/>
      <c r="J406" s="1"/>
      <c r="K406" s="36"/>
    </row>
    <row r="407" spans="1:11" x14ac:dyDescent="0.2">
      <c r="A407" s="1"/>
      <c r="B407" s="1"/>
      <c r="C407" s="1"/>
      <c r="H407" s="1"/>
      <c r="I407" s="1"/>
      <c r="J407" s="1"/>
      <c r="K407" s="36"/>
    </row>
    <row r="408" spans="1:11" x14ac:dyDescent="0.2">
      <c r="A408" s="1"/>
      <c r="B408" s="1"/>
      <c r="C408" s="1"/>
      <c r="H408" s="1"/>
      <c r="I408" s="1"/>
      <c r="J408" s="1"/>
      <c r="K408" s="36"/>
    </row>
    <row r="409" spans="1:11" x14ac:dyDescent="0.2">
      <c r="A409" s="1"/>
      <c r="B409" s="1"/>
      <c r="C409" s="1"/>
      <c r="H409" s="1"/>
      <c r="I409" s="1"/>
      <c r="J409" s="1"/>
      <c r="K409" s="36"/>
    </row>
    <row r="410" spans="1:11" x14ac:dyDescent="0.2">
      <c r="A410" s="1"/>
      <c r="B410" s="1"/>
      <c r="C410" s="1"/>
      <c r="H410" s="1"/>
      <c r="I410" s="1"/>
      <c r="J410" s="1"/>
      <c r="K410" s="36"/>
    </row>
    <row r="411" spans="1:11" x14ac:dyDescent="0.2">
      <c r="A411" s="1"/>
      <c r="B411" s="1"/>
      <c r="C411" s="1"/>
      <c r="H411" s="1"/>
      <c r="I411" s="1"/>
      <c r="J411" s="1"/>
      <c r="K411" s="36"/>
    </row>
    <row r="412" spans="1:11" x14ac:dyDescent="0.2">
      <c r="A412" s="1"/>
      <c r="B412" s="1"/>
      <c r="C412" s="1"/>
      <c r="H412" s="1"/>
      <c r="I412" s="1"/>
      <c r="J412" s="1"/>
      <c r="K412" s="36"/>
    </row>
    <row r="413" spans="1:11" x14ac:dyDescent="0.2">
      <c r="A413" s="1"/>
      <c r="B413" s="1"/>
      <c r="C413" s="1"/>
      <c r="H413" s="1"/>
      <c r="I413" s="1"/>
      <c r="J413" s="1"/>
      <c r="K413" s="36"/>
    </row>
    <row r="414" spans="1:11" x14ac:dyDescent="0.2">
      <c r="A414" s="1"/>
      <c r="B414" s="1"/>
      <c r="C414" s="1"/>
      <c r="H414" s="1"/>
      <c r="I414" s="1"/>
      <c r="J414" s="1"/>
      <c r="K414" s="36"/>
    </row>
    <row r="415" spans="1:11" x14ac:dyDescent="0.2">
      <c r="A415" s="1"/>
      <c r="B415" s="1"/>
      <c r="C415" s="1"/>
      <c r="H415" s="1"/>
      <c r="I415" s="1"/>
      <c r="J415" s="1"/>
      <c r="K415" s="36"/>
    </row>
    <row r="416" spans="1:11" x14ac:dyDescent="0.2">
      <c r="A416" s="1"/>
      <c r="B416" s="1"/>
      <c r="C416" s="1"/>
      <c r="H416" s="1"/>
      <c r="I416" s="1"/>
      <c r="J416" s="1"/>
      <c r="K416" s="36"/>
    </row>
    <row r="417" spans="1:11" x14ac:dyDescent="0.2">
      <c r="A417" s="1"/>
      <c r="B417" s="1"/>
      <c r="C417" s="1"/>
      <c r="H417" s="1"/>
      <c r="I417" s="1"/>
      <c r="J417" s="1"/>
      <c r="K417" s="36"/>
    </row>
    <row r="418" spans="1:11" x14ac:dyDescent="0.2">
      <c r="A418" s="1"/>
      <c r="B418" s="1"/>
      <c r="C418" s="1"/>
      <c r="H418" s="1"/>
      <c r="I418" s="1"/>
      <c r="J418" s="1"/>
      <c r="K418" s="36"/>
    </row>
    <row r="419" spans="1:11" x14ac:dyDescent="0.2">
      <c r="A419" s="1"/>
      <c r="B419" s="1"/>
      <c r="C419" s="1"/>
      <c r="H419" s="1"/>
      <c r="I419" s="1"/>
      <c r="J419" s="1"/>
      <c r="K419" s="36"/>
    </row>
    <row r="420" spans="1:11" x14ac:dyDescent="0.2">
      <c r="A420" s="1"/>
      <c r="B420" s="1"/>
      <c r="C420" s="1"/>
      <c r="H420" s="1"/>
      <c r="I420" s="1"/>
      <c r="J420" s="1"/>
      <c r="K420" s="36"/>
    </row>
    <row r="421" spans="1:11" x14ac:dyDescent="0.2">
      <c r="A421" s="1"/>
      <c r="B421" s="1"/>
      <c r="C421" s="1"/>
      <c r="H421" s="1"/>
      <c r="I421" s="1"/>
      <c r="J421" s="1"/>
      <c r="K421" s="36"/>
    </row>
    <row r="422" spans="1:11" x14ac:dyDescent="0.2">
      <c r="A422" s="1"/>
      <c r="B422" s="1"/>
      <c r="C422" s="1"/>
      <c r="H422" s="1"/>
      <c r="I422" s="1"/>
      <c r="J422" s="1"/>
      <c r="K422" s="36"/>
    </row>
    <row r="423" spans="1:11" x14ac:dyDescent="0.2">
      <c r="A423" s="1"/>
      <c r="B423" s="1"/>
      <c r="C423" s="1"/>
      <c r="H423" s="1"/>
      <c r="I423" s="1"/>
      <c r="J423" s="1"/>
      <c r="K423" s="36"/>
    </row>
    <row r="424" spans="1:11" x14ac:dyDescent="0.2">
      <c r="A424" s="1"/>
      <c r="B424" s="1"/>
      <c r="C424" s="1"/>
      <c r="H424" s="1"/>
      <c r="I424" s="1"/>
      <c r="J424" s="1"/>
      <c r="K424" s="36"/>
    </row>
    <row r="425" spans="1:11" x14ac:dyDescent="0.2">
      <c r="A425" s="1"/>
      <c r="B425" s="1"/>
      <c r="C425" s="1"/>
      <c r="H425" s="1"/>
      <c r="I425" s="1"/>
      <c r="J425" s="1"/>
      <c r="K425" s="36"/>
    </row>
    <row r="426" spans="1:11" x14ac:dyDescent="0.2">
      <c r="A426" s="1"/>
      <c r="B426" s="1"/>
      <c r="C426" s="1"/>
      <c r="H426" s="1"/>
      <c r="I426" s="1"/>
      <c r="J426" s="1"/>
      <c r="K426" s="36"/>
    </row>
    <row r="427" spans="1:11" x14ac:dyDescent="0.2">
      <c r="A427" s="1"/>
      <c r="B427" s="1"/>
      <c r="C427" s="1"/>
      <c r="H427" s="1"/>
      <c r="I427" s="1"/>
      <c r="J427" s="1"/>
      <c r="K427" s="36"/>
    </row>
    <row r="428" spans="1:11" x14ac:dyDescent="0.2">
      <c r="A428" s="1"/>
      <c r="B428" s="1"/>
      <c r="C428" s="1"/>
      <c r="H428" s="1"/>
      <c r="I428" s="1"/>
      <c r="J428" s="1"/>
      <c r="K428" s="36"/>
    </row>
    <row r="429" spans="1:11" x14ac:dyDescent="0.2">
      <c r="A429" s="1"/>
      <c r="B429" s="1"/>
      <c r="C429" s="1"/>
      <c r="H429" s="1"/>
      <c r="I429" s="1"/>
      <c r="J429" s="1"/>
      <c r="K429" s="36"/>
    </row>
    <row r="430" spans="1:11" x14ac:dyDescent="0.2">
      <c r="A430" s="1"/>
      <c r="B430" s="1"/>
      <c r="C430" s="1"/>
      <c r="H430" s="1"/>
      <c r="I430" s="1"/>
      <c r="J430" s="1"/>
      <c r="K430" s="36"/>
    </row>
    <row r="431" spans="1:11" x14ac:dyDescent="0.2">
      <c r="A431" s="1"/>
      <c r="B431" s="1"/>
      <c r="C431" s="1"/>
      <c r="H431" s="1"/>
      <c r="I431" s="1"/>
      <c r="J431" s="1"/>
      <c r="K431" s="36"/>
    </row>
    <row r="432" spans="1:11" x14ac:dyDescent="0.2">
      <c r="A432" s="1"/>
      <c r="B432" s="1"/>
      <c r="C432" s="1"/>
      <c r="H432" s="1"/>
      <c r="I432" s="1"/>
      <c r="J432" s="1"/>
      <c r="K432" s="36"/>
    </row>
    <row r="433" spans="1:11" x14ac:dyDescent="0.2">
      <c r="A433" s="1"/>
      <c r="B433" s="1"/>
      <c r="C433" s="1"/>
      <c r="H433" s="1"/>
      <c r="I433" s="1"/>
      <c r="J433" s="1"/>
      <c r="K433" s="36"/>
    </row>
    <row r="434" spans="1:11" x14ac:dyDescent="0.2">
      <c r="A434" s="1"/>
      <c r="B434" s="1"/>
      <c r="C434" s="1"/>
      <c r="H434" s="1"/>
      <c r="I434" s="1"/>
      <c r="J434" s="1"/>
      <c r="K434" s="36"/>
    </row>
    <row r="435" spans="1:11" x14ac:dyDescent="0.2">
      <c r="A435" s="1"/>
      <c r="B435" s="1"/>
      <c r="C435" s="1"/>
      <c r="H435" s="1"/>
      <c r="I435" s="1"/>
      <c r="J435" s="1"/>
      <c r="K435" s="36"/>
    </row>
    <row r="436" spans="1:11" x14ac:dyDescent="0.2">
      <c r="A436" s="1"/>
      <c r="B436" s="1"/>
      <c r="C436" s="1"/>
      <c r="H436" s="1"/>
      <c r="I436" s="1"/>
      <c r="J436" s="1"/>
      <c r="K436" s="36"/>
    </row>
    <row r="437" spans="1:11" x14ac:dyDescent="0.2">
      <c r="A437" s="1"/>
      <c r="B437" s="1"/>
      <c r="C437" s="1"/>
      <c r="H437" s="1"/>
      <c r="I437" s="1"/>
      <c r="J437" s="1"/>
      <c r="K437" s="36"/>
    </row>
    <row r="438" spans="1:11" x14ac:dyDescent="0.2">
      <c r="A438" s="1"/>
      <c r="B438" s="1"/>
      <c r="C438" s="1"/>
      <c r="H438" s="1"/>
      <c r="I438" s="1"/>
      <c r="J438" s="1"/>
      <c r="K438" s="36"/>
    </row>
    <row r="439" spans="1:11" x14ac:dyDescent="0.2">
      <c r="A439" s="1"/>
      <c r="B439" s="1"/>
      <c r="C439" s="1"/>
      <c r="H439" s="1"/>
      <c r="I439" s="1"/>
      <c r="J439" s="1"/>
      <c r="K439" s="36"/>
    </row>
    <row r="440" spans="1:11" x14ac:dyDescent="0.2">
      <c r="A440" s="1"/>
      <c r="B440" s="1"/>
      <c r="C440" s="1"/>
      <c r="H440" s="1"/>
      <c r="I440" s="1"/>
      <c r="J440" s="1"/>
      <c r="K440" s="36"/>
    </row>
    <row r="441" spans="1:11" x14ac:dyDescent="0.2">
      <c r="A441" s="1"/>
      <c r="B441" s="1"/>
      <c r="C441" s="1"/>
      <c r="H441" s="1"/>
      <c r="I441" s="1"/>
      <c r="J441" s="1"/>
      <c r="K441" s="36"/>
    </row>
    <row r="442" spans="1:11" x14ac:dyDescent="0.2">
      <c r="A442" s="1"/>
      <c r="B442" s="1"/>
      <c r="C442" s="1"/>
      <c r="H442" s="1"/>
      <c r="I442" s="1"/>
      <c r="J442" s="1"/>
      <c r="K442" s="36"/>
    </row>
    <row r="443" spans="1:11" x14ac:dyDescent="0.2">
      <c r="A443" s="1"/>
      <c r="B443" s="1"/>
      <c r="C443" s="1"/>
      <c r="H443" s="1"/>
      <c r="I443" s="1"/>
      <c r="J443" s="1"/>
      <c r="K443" s="36"/>
    </row>
    <row r="444" spans="1:11" x14ac:dyDescent="0.2">
      <c r="A444" s="1"/>
      <c r="B444" s="1"/>
      <c r="C444" s="1"/>
      <c r="H444" s="1"/>
      <c r="I444" s="1"/>
      <c r="J444" s="1"/>
      <c r="K444" s="36"/>
    </row>
    <row r="445" spans="1:11" x14ac:dyDescent="0.2">
      <c r="A445" s="1"/>
      <c r="B445" s="1"/>
      <c r="C445" s="1"/>
      <c r="H445" s="1"/>
      <c r="I445" s="1"/>
      <c r="J445" s="1"/>
      <c r="K445" s="36"/>
    </row>
    <row r="446" spans="1:11" x14ac:dyDescent="0.2">
      <c r="A446" s="1"/>
      <c r="B446" s="1"/>
      <c r="C446" s="1"/>
      <c r="H446" s="1"/>
      <c r="I446" s="1"/>
      <c r="J446" s="1"/>
      <c r="K446" s="36"/>
    </row>
    <row r="447" spans="1:11" x14ac:dyDescent="0.2">
      <c r="A447" s="1"/>
      <c r="B447" s="1"/>
      <c r="C447" s="1"/>
      <c r="H447" s="1"/>
      <c r="I447" s="1"/>
      <c r="J447" s="1"/>
      <c r="K447" s="36"/>
    </row>
    <row r="448" spans="1:11" x14ac:dyDescent="0.2">
      <c r="A448" s="1"/>
      <c r="B448" s="1"/>
      <c r="C448" s="1"/>
      <c r="H448" s="1"/>
      <c r="I448" s="1"/>
      <c r="J448" s="1"/>
      <c r="K448" s="36"/>
    </row>
    <row r="449" spans="1:11" x14ac:dyDescent="0.2">
      <c r="A449" s="1"/>
      <c r="B449" s="1"/>
      <c r="C449" s="1"/>
      <c r="H449" s="1"/>
      <c r="I449" s="1"/>
      <c r="J449" s="1"/>
      <c r="K449" s="36"/>
    </row>
    <row r="450" spans="1:11" x14ac:dyDescent="0.2">
      <c r="A450" s="1"/>
      <c r="B450" s="1"/>
      <c r="C450" s="1"/>
      <c r="H450" s="1"/>
      <c r="I450" s="1"/>
      <c r="J450" s="1"/>
      <c r="K450" s="36"/>
    </row>
    <row r="451" spans="1:11" x14ac:dyDescent="0.2">
      <c r="A451" s="1"/>
      <c r="B451" s="1"/>
      <c r="C451" s="1"/>
      <c r="H451" s="1"/>
      <c r="I451" s="1"/>
      <c r="J451" s="1"/>
      <c r="K451" s="36"/>
    </row>
    <row r="452" spans="1:11" x14ac:dyDescent="0.2">
      <c r="A452" s="1"/>
      <c r="B452" s="1"/>
      <c r="C452" s="1"/>
      <c r="H452" s="1"/>
      <c r="I452" s="1"/>
      <c r="J452" s="1"/>
      <c r="K452" s="36"/>
    </row>
    <row r="453" spans="1:11" x14ac:dyDescent="0.2">
      <c r="A453" s="1"/>
      <c r="B453" s="1"/>
      <c r="C453" s="1"/>
      <c r="H453" s="1"/>
      <c r="I453" s="1"/>
      <c r="J453" s="1"/>
      <c r="K453" s="36"/>
    </row>
    <row r="454" spans="1:11" x14ac:dyDescent="0.2">
      <c r="A454" s="1"/>
      <c r="B454" s="1"/>
      <c r="C454" s="1"/>
      <c r="H454" s="1"/>
      <c r="I454" s="1"/>
      <c r="J454" s="1"/>
      <c r="K454" s="36"/>
    </row>
    <row r="455" spans="1:11" x14ac:dyDescent="0.2">
      <c r="A455" s="1"/>
      <c r="B455" s="1"/>
      <c r="C455" s="1"/>
      <c r="H455" s="1"/>
      <c r="I455" s="1"/>
      <c r="J455" s="1"/>
      <c r="K455" s="36"/>
    </row>
    <row r="456" spans="1:11" x14ac:dyDescent="0.2">
      <c r="A456" s="1"/>
      <c r="B456" s="1"/>
      <c r="C456" s="1"/>
      <c r="H456" s="1"/>
      <c r="I456" s="1"/>
      <c r="J456" s="1"/>
      <c r="K456" s="36"/>
    </row>
    <row r="457" spans="1:11" x14ac:dyDescent="0.2">
      <c r="A457" s="1"/>
      <c r="B457" s="1"/>
      <c r="C457" s="1"/>
      <c r="H457" s="1"/>
      <c r="I457" s="1"/>
      <c r="J457" s="1"/>
      <c r="K457" s="36"/>
    </row>
    <row r="458" spans="1:11" x14ac:dyDescent="0.2">
      <c r="A458" s="1"/>
      <c r="B458" s="1"/>
      <c r="C458" s="1"/>
      <c r="H458" s="1"/>
      <c r="I458" s="1"/>
      <c r="J458" s="1"/>
      <c r="K458" s="36"/>
    </row>
    <row r="459" spans="1:11" x14ac:dyDescent="0.2">
      <c r="A459" s="1"/>
      <c r="B459" s="1"/>
      <c r="C459" s="1"/>
      <c r="H459" s="1"/>
      <c r="I459" s="1"/>
      <c r="J459" s="1"/>
      <c r="K459" s="36"/>
    </row>
    <row r="460" spans="1:11" x14ac:dyDescent="0.2">
      <c r="A460" s="1"/>
      <c r="B460" s="1"/>
      <c r="C460" s="1"/>
      <c r="H460" s="1"/>
      <c r="I460" s="1"/>
      <c r="J460" s="1"/>
      <c r="K460" s="36"/>
    </row>
    <row r="461" spans="1:11" x14ac:dyDescent="0.2">
      <c r="A461" s="1"/>
      <c r="B461" s="1"/>
      <c r="C461" s="1"/>
      <c r="H461" s="1"/>
      <c r="I461" s="1"/>
      <c r="J461" s="1"/>
      <c r="K461" s="36"/>
    </row>
    <row r="462" spans="1:11" x14ac:dyDescent="0.2">
      <c r="A462" s="1"/>
      <c r="B462" s="1"/>
      <c r="C462" s="1"/>
      <c r="H462" s="1"/>
      <c r="I462" s="1"/>
      <c r="J462" s="1"/>
      <c r="K462" s="36"/>
    </row>
    <row r="463" spans="1:11" x14ac:dyDescent="0.2">
      <c r="A463" s="1"/>
      <c r="B463" s="1"/>
      <c r="C463" s="1"/>
      <c r="H463" s="1"/>
      <c r="I463" s="1"/>
      <c r="J463" s="1"/>
      <c r="K463" s="36"/>
    </row>
    <row r="464" spans="1:11" x14ac:dyDescent="0.2">
      <c r="A464" s="1"/>
      <c r="B464" s="1"/>
      <c r="C464" s="1"/>
      <c r="H464" s="1"/>
      <c r="I464" s="1"/>
      <c r="J464" s="1"/>
      <c r="K464" s="36"/>
    </row>
    <row r="465" spans="1:11" x14ac:dyDescent="0.2">
      <c r="A465" s="1"/>
      <c r="B465" s="1"/>
      <c r="C465" s="1"/>
      <c r="H465" s="1"/>
      <c r="I465" s="1"/>
      <c r="J465" s="1"/>
      <c r="K465" s="36"/>
    </row>
    <row r="466" spans="1:11" x14ac:dyDescent="0.2">
      <c r="A466" s="1"/>
      <c r="B466" s="1"/>
      <c r="C466" s="1"/>
      <c r="H466" s="1"/>
      <c r="I466" s="1"/>
      <c r="J466" s="1"/>
      <c r="K466" s="36"/>
    </row>
    <row r="467" spans="1:11" x14ac:dyDescent="0.2">
      <c r="A467" s="1"/>
      <c r="B467" s="1"/>
      <c r="C467" s="1"/>
      <c r="H467" s="1"/>
      <c r="I467" s="1"/>
      <c r="J467" s="1"/>
      <c r="K467" s="36"/>
    </row>
    <row r="468" spans="1:11" x14ac:dyDescent="0.2">
      <c r="A468" s="1"/>
      <c r="B468" s="1"/>
      <c r="C468" s="1"/>
      <c r="H468" s="1"/>
      <c r="I468" s="1"/>
      <c r="J468" s="1"/>
      <c r="K468" s="36"/>
    </row>
    <row r="469" spans="1:11" x14ac:dyDescent="0.2">
      <c r="A469" s="1"/>
      <c r="B469" s="1"/>
      <c r="C469" s="1"/>
      <c r="H469" s="1"/>
      <c r="I469" s="1"/>
      <c r="J469" s="1"/>
      <c r="K469" s="36"/>
    </row>
    <row r="470" spans="1:11" x14ac:dyDescent="0.2">
      <c r="A470" s="1"/>
      <c r="B470" s="1"/>
      <c r="C470" s="1"/>
      <c r="H470" s="1"/>
      <c r="I470" s="1"/>
      <c r="J470" s="1"/>
      <c r="K470" s="36"/>
    </row>
    <row r="471" spans="1:11" x14ac:dyDescent="0.2">
      <c r="A471" s="1"/>
      <c r="B471" s="1"/>
      <c r="C471" s="1"/>
      <c r="H471" s="1"/>
      <c r="I471" s="1"/>
      <c r="J471" s="1"/>
      <c r="K471" s="36"/>
    </row>
    <row r="472" spans="1:11" x14ac:dyDescent="0.2">
      <c r="A472" s="1"/>
      <c r="B472" s="1"/>
      <c r="C472" s="1"/>
      <c r="H472" s="1"/>
      <c r="I472" s="1"/>
      <c r="J472" s="1"/>
      <c r="K472" s="36"/>
    </row>
    <row r="473" spans="1:11" x14ac:dyDescent="0.2">
      <c r="A473" s="1"/>
      <c r="B473" s="1"/>
      <c r="C473" s="1"/>
      <c r="H473" s="1"/>
      <c r="I473" s="1"/>
      <c r="J473" s="1"/>
      <c r="K473" s="36"/>
    </row>
    <row r="474" spans="1:11" x14ac:dyDescent="0.2">
      <c r="A474" s="1"/>
      <c r="B474" s="1"/>
      <c r="C474" s="1"/>
      <c r="H474" s="1"/>
      <c r="I474" s="1"/>
      <c r="J474" s="1"/>
      <c r="K474" s="36"/>
    </row>
    <row r="475" spans="1:11" x14ac:dyDescent="0.2">
      <c r="A475" s="1"/>
      <c r="B475" s="1"/>
      <c r="C475" s="1"/>
      <c r="H475" s="1"/>
      <c r="I475" s="1"/>
      <c r="J475" s="1"/>
      <c r="K475" s="36"/>
    </row>
    <row r="476" spans="1:11" x14ac:dyDescent="0.2">
      <c r="A476" s="1"/>
      <c r="B476" s="1"/>
      <c r="C476" s="1"/>
      <c r="H476" s="1"/>
      <c r="I476" s="1"/>
      <c r="J476" s="1"/>
      <c r="K476" s="36"/>
    </row>
    <row r="477" spans="1:11" x14ac:dyDescent="0.2">
      <c r="A477" s="1"/>
      <c r="B477" s="1"/>
      <c r="C477" s="1"/>
      <c r="H477" s="1"/>
      <c r="I477" s="1"/>
      <c r="J477" s="1"/>
      <c r="K477" s="36"/>
    </row>
    <row r="478" spans="1:11" x14ac:dyDescent="0.2">
      <c r="A478" s="1"/>
      <c r="B478" s="1"/>
      <c r="C478" s="1"/>
      <c r="H478" s="1"/>
      <c r="I478" s="1"/>
      <c r="J478" s="1"/>
      <c r="K478" s="36"/>
    </row>
    <row r="479" spans="1:11" x14ac:dyDescent="0.2">
      <c r="A479" s="1"/>
      <c r="B479" s="1"/>
      <c r="C479" s="1"/>
      <c r="H479" s="1"/>
      <c r="I479" s="1"/>
      <c r="J479" s="1"/>
      <c r="K479" s="36"/>
    </row>
    <row r="480" spans="1:11" x14ac:dyDescent="0.2">
      <c r="A480" s="1"/>
      <c r="B480" s="1"/>
      <c r="C480" s="1"/>
      <c r="H480" s="1"/>
      <c r="I480" s="1"/>
      <c r="J480" s="1"/>
      <c r="K480" s="36"/>
    </row>
    <row r="481" spans="1:11" x14ac:dyDescent="0.2">
      <c r="A481" s="1"/>
      <c r="B481" s="1"/>
      <c r="C481" s="1"/>
      <c r="H481" s="1"/>
      <c r="I481" s="1"/>
      <c r="J481" s="1"/>
      <c r="K481" s="36"/>
    </row>
    <row r="482" spans="1:11" x14ac:dyDescent="0.2">
      <c r="A482" s="1"/>
      <c r="B482" s="1"/>
      <c r="C482" s="1"/>
      <c r="H482" s="1"/>
      <c r="I482" s="1"/>
      <c r="J482" s="1"/>
      <c r="K482" s="36"/>
    </row>
    <row r="483" spans="1:11" x14ac:dyDescent="0.2">
      <c r="A483" s="1"/>
      <c r="B483" s="1"/>
      <c r="C483" s="1"/>
      <c r="H483" s="1"/>
      <c r="I483" s="1"/>
      <c r="J483" s="1"/>
      <c r="K483" s="36"/>
    </row>
    <row r="484" spans="1:11" x14ac:dyDescent="0.2">
      <c r="A484" s="1"/>
      <c r="B484" s="1"/>
      <c r="C484" s="1"/>
      <c r="H484" s="1"/>
      <c r="I484" s="1"/>
      <c r="J484" s="1"/>
      <c r="K484" s="36"/>
    </row>
    <row r="485" spans="1:11" x14ac:dyDescent="0.2">
      <c r="A485" s="1"/>
      <c r="B485" s="1"/>
      <c r="C485" s="1"/>
      <c r="H485" s="1"/>
      <c r="I485" s="1"/>
      <c r="J485" s="1"/>
      <c r="K485" s="36"/>
    </row>
    <row r="486" spans="1:11" x14ac:dyDescent="0.2">
      <c r="A486" s="1"/>
      <c r="B486" s="1"/>
      <c r="C486" s="1"/>
      <c r="H486" s="1"/>
      <c r="I486" s="1"/>
      <c r="J486" s="1"/>
      <c r="K486" s="36"/>
    </row>
    <row r="487" spans="1:11" x14ac:dyDescent="0.2">
      <c r="A487" s="1"/>
      <c r="B487" s="1"/>
      <c r="C487" s="1"/>
      <c r="H487" s="1"/>
      <c r="I487" s="1"/>
      <c r="J487" s="1"/>
      <c r="K487" s="36"/>
    </row>
    <row r="488" spans="1:11" x14ac:dyDescent="0.2">
      <c r="A488" s="1"/>
      <c r="B488" s="1"/>
      <c r="C488" s="1"/>
      <c r="H488" s="1"/>
      <c r="I488" s="1"/>
      <c r="J488" s="1"/>
      <c r="K488" s="36"/>
    </row>
    <row r="489" spans="1:11" x14ac:dyDescent="0.2">
      <c r="A489" s="1"/>
      <c r="B489" s="1"/>
      <c r="C489" s="1"/>
      <c r="H489" s="1"/>
      <c r="I489" s="1"/>
      <c r="J489" s="1"/>
      <c r="K489" s="36"/>
    </row>
    <row r="490" spans="1:11" x14ac:dyDescent="0.2">
      <c r="A490" s="1"/>
      <c r="B490" s="1"/>
      <c r="C490" s="1"/>
      <c r="H490" s="1"/>
      <c r="I490" s="1"/>
      <c r="J490" s="1"/>
      <c r="K490" s="36"/>
    </row>
    <row r="491" spans="1:11" x14ac:dyDescent="0.2">
      <c r="A491" s="1"/>
      <c r="B491" s="1"/>
      <c r="C491" s="1"/>
      <c r="H491" s="1"/>
      <c r="I491" s="1"/>
      <c r="J491" s="1"/>
      <c r="K491" s="36"/>
    </row>
    <row r="492" spans="1:11" x14ac:dyDescent="0.2">
      <c r="A492" s="1"/>
      <c r="B492" s="1"/>
      <c r="C492" s="1"/>
      <c r="H492" s="1"/>
      <c r="I492" s="1"/>
      <c r="J492" s="1"/>
      <c r="K492" s="36"/>
    </row>
    <row r="493" spans="1:11" x14ac:dyDescent="0.2">
      <c r="A493" s="1"/>
      <c r="B493" s="1"/>
      <c r="C493" s="1"/>
      <c r="H493" s="1"/>
      <c r="I493" s="1"/>
      <c r="J493" s="1"/>
      <c r="K493" s="36"/>
    </row>
    <row r="494" spans="1:11" x14ac:dyDescent="0.2">
      <c r="A494" s="1"/>
      <c r="B494" s="1"/>
      <c r="C494" s="1"/>
      <c r="H494" s="1"/>
      <c r="I494" s="1"/>
      <c r="J494" s="1"/>
      <c r="K494" s="36"/>
    </row>
    <row r="495" spans="1:11" x14ac:dyDescent="0.2">
      <c r="A495" s="1"/>
      <c r="B495" s="1"/>
      <c r="C495" s="1"/>
      <c r="H495" s="1"/>
      <c r="I495" s="1"/>
      <c r="J495" s="1"/>
      <c r="K495" s="36"/>
    </row>
    <row r="496" spans="1:11" x14ac:dyDescent="0.2">
      <c r="A496" s="1"/>
      <c r="B496" s="1"/>
      <c r="C496" s="1"/>
      <c r="H496" s="1"/>
      <c r="I496" s="1"/>
      <c r="J496" s="1"/>
      <c r="K496" s="36"/>
    </row>
    <row r="497" spans="1:11" x14ac:dyDescent="0.2">
      <c r="A497" s="1"/>
      <c r="B497" s="1"/>
      <c r="C497" s="1"/>
      <c r="H497" s="1"/>
      <c r="I497" s="1"/>
      <c r="J497" s="1"/>
      <c r="K497" s="36"/>
    </row>
    <row r="498" spans="1:11" x14ac:dyDescent="0.2">
      <c r="A498" s="1"/>
      <c r="B498" s="1"/>
      <c r="C498" s="1"/>
      <c r="H498" s="1"/>
      <c r="I498" s="1"/>
      <c r="J498" s="1"/>
      <c r="K498" s="36"/>
    </row>
    <row r="499" spans="1:11" x14ac:dyDescent="0.2">
      <c r="A499" s="1"/>
      <c r="B499" s="1"/>
      <c r="C499" s="1"/>
      <c r="H499" s="1"/>
      <c r="I499" s="1"/>
      <c r="J499" s="1"/>
      <c r="K499" s="36"/>
    </row>
    <row r="500" spans="1:11" x14ac:dyDescent="0.2">
      <c r="A500" s="1"/>
      <c r="B500" s="1"/>
      <c r="C500" s="1"/>
      <c r="H500" s="1"/>
      <c r="I500" s="1"/>
      <c r="J500" s="1"/>
      <c r="K500" s="36"/>
    </row>
    <row r="501" spans="1:11" x14ac:dyDescent="0.2">
      <c r="A501" s="1"/>
      <c r="B501" s="1"/>
      <c r="C501" s="1"/>
      <c r="H501" s="1"/>
      <c r="I501" s="1"/>
      <c r="J501" s="1"/>
      <c r="K501" s="36"/>
    </row>
    <row r="502" spans="1:11" x14ac:dyDescent="0.2">
      <c r="A502" s="1"/>
      <c r="B502" s="1"/>
      <c r="C502" s="1"/>
      <c r="H502" s="1"/>
      <c r="I502" s="1"/>
      <c r="J502" s="1"/>
      <c r="K502" s="36"/>
    </row>
    <row r="503" spans="1:11" x14ac:dyDescent="0.2">
      <c r="A503" s="1"/>
      <c r="B503" s="1"/>
      <c r="C503" s="1"/>
      <c r="H503" s="1"/>
      <c r="I503" s="1"/>
      <c r="J503" s="1"/>
      <c r="K503" s="36"/>
    </row>
    <row r="504" spans="1:11" x14ac:dyDescent="0.2">
      <c r="A504" s="1"/>
      <c r="B504" s="1"/>
      <c r="C504" s="1"/>
      <c r="H504" s="1"/>
      <c r="I504" s="1"/>
      <c r="J504" s="1"/>
      <c r="K504" s="36"/>
    </row>
    <row r="505" spans="1:11" x14ac:dyDescent="0.2">
      <c r="A505" s="1"/>
      <c r="B505" s="1"/>
      <c r="C505" s="1"/>
      <c r="H505" s="1"/>
      <c r="I505" s="1"/>
      <c r="J505" s="1"/>
      <c r="K505" s="36"/>
    </row>
    <row r="506" spans="1:11" x14ac:dyDescent="0.2">
      <c r="A506" s="1"/>
      <c r="B506" s="1"/>
      <c r="C506" s="1"/>
      <c r="H506" s="1"/>
      <c r="I506" s="1"/>
      <c r="J506" s="1"/>
      <c r="K506" s="36"/>
    </row>
    <row r="507" spans="1:11" x14ac:dyDescent="0.2">
      <c r="A507" s="1"/>
      <c r="B507" s="1"/>
      <c r="C507" s="1"/>
      <c r="H507" s="1"/>
      <c r="I507" s="1"/>
      <c r="J507" s="1"/>
      <c r="K507" s="36"/>
    </row>
    <row r="508" spans="1:11" x14ac:dyDescent="0.2">
      <c r="A508" s="1"/>
      <c r="B508" s="1"/>
      <c r="C508" s="1"/>
      <c r="H508" s="1"/>
      <c r="I508" s="1"/>
      <c r="J508" s="1"/>
      <c r="K508" s="36"/>
    </row>
    <row r="509" spans="1:11" x14ac:dyDescent="0.2">
      <c r="A509" s="1"/>
      <c r="B509" s="1"/>
      <c r="C509" s="1"/>
      <c r="H509" s="1"/>
      <c r="I509" s="1"/>
      <c r="J509" s="1"/>
      <c r="K509" s="36"/>
    </row>
    <row r="510" spans="1:11" x14ac:dyDescent="0.2">
      <c r="A510" s="1"/>
      <c r="B510" s="1"/>
      <c r="C510" s="1"/>
      <c r="H510" s="1"/>
      <c r="I510" s="1"/>
      <c r="J510" s="1"/>
      <c r="K510" s="36"/>
    </row>
    <row r="511" spans="1:11" x14ac:dyDescent="0.2">
      <c r="A511" s="1"/>
      <c r="B511" s="1"/>
      <c r="C511" s="1"/>
      <c r="H511" s="1"/>
      <c r="I511" s="1"/>
      <c r="J511" s="1"/>
      <c r="K511" s="36"/>
    </row>
    <row r="512" spans="1:11" x14ac:dyDescent="0.2">
      <c r="A512" s="1"/>
      <c r="B512" s="1"/>
      <c r="C512" s="1"/>
      <c r="H512" s="1"/>
      <c r="I512" s="1"/>
      <c r="J512" s="1"/>
      <c r="K512" s="36"/>
    </row>
    <row r="513" spans="1:11" x14ac:dyDescent="0.2">
      <c r="A513" s="1"/>
      <c r="B513" s="1"/>
      <c r="C513" s="1"/>
      <c r="H513" s="1"/>
      <c r="I513" s="1"/>
      <c r="J513" s="1"/>
      <c r="K513" s="36"/>
    </row>
    <row r="514" spans="1:11" x14ac:dyDescent="0.2">
      <c r="A514" s="1"/>
      <c r="B514" s="1"/>
      <c r="C514" s="1"/>
      <c r="H514" s="1"/>
      <c r="I514" s="1"/>
      <c r="J514" s="1"/>
      <c r="K514" s="36"/>
    </row>
    <row r="515" spans="1:11" x14ac:dyDescent="0.2">
      <c r="A515" s="1"/>
      <c r="B515" s="1"/>
      <c r="C515" s="1"/>
      <c r="H515" s="1"/>
      <c r="I515" s="1"/>
      <c r="J515" s="1"/>
      <c r="K515" s="36"/>
    </row>
    <row r="516" spans="1:11" x14ac:dyDescent="0.2">
      <c r="A516" s="1"/>
      <c r="B516" s="1"/>
      <c r="C516" s="1"/>
      <c r="H516" s="1"/>
      <c r="I516" s="1"/>
      <c r="J516" s="1"/>
      <c r="K516" s="36"/>
    </row>
    <row r="517" spans="1:11" x14ac:dyDescent="0.2">
      <c r="A517" s="1"/>
      <c r="B517" s="1"/>
      <c r="C517" s="1"/>
      <c r="H517" s="1"/>
      <c r="I517" s="1"/>
      <c r="J517" s="1"/>
      <c r="K517" s="36"/>
    </row>
    <row r="518" spans="1:11" x14ac:dyDescent="0.2">
      <c r="A518" s="1"/>
      <c r="B518" s="1"/>
      <c r="C518" s="1"/>
      <c r="H518" s="1"/>
      <c r="I518" s="1"/>
      <c r="J518" s="1"/>
      <c r="K518" s="36"/>
    </row>
    <row r="519" spans="1:11" x14ac:dyDescent="0.2">
      <c r="A519" s="1"/>
      <c r="B519" s="1"/>
      <c r="C519" s="1"/>
      <c r="H519" s="1"/>
      <c r="I519" s="1"/>
      <c r="J519" s="1"/>
      <c r="K519" s="36"/>
    </row>
    <row r="520" spans="1:11" x14ac:dyDescent="0.2">
      <c r="A520" s="1"/>
      <c r="B520" s="1"/>
      <c r="C520" s="1"/>
      <c r="H520" s="1"/>
      <c r="I520" s="1"/>
      <c r="J520" s="1"/>
      <c r="K520" s="36"/>
    </row>
    <row r="521" spans="1:11" x14ac:dyDescent="0.2">
      <c r="A521" s="1"/>
      <c r="B521" s="1"/>
      <c r="C521" s="1"/>
      <c r="H521" s="1"/>
      <c r="I521" s="1"/>
      <c r="J521" s="1"/>
      <c r="K521" s="36"/>
    </row>
    <row r="522" spans="1:11" x14ac:dyDescent="0.2">
      <c r="A522" s="1"/>
      <c r="B522" s="1"/>
      <c r="C522" s="1"/>
      <c r="H522" s="1"/>
      <c r="I522" s="1"/>
      <c r="J522" s="1"/>
      <c r="K522" s="36"/>
    </row>
    <row r="523" spans="1:11" x14ac:dyDescent="0.2">
      <c r="A523" s="1"/>
      <c r="B523" s="1"/>
      <c r="C523" s="1"/>
      <c r="H523" s="1"/>
      <c r="I523" s="1"/>
      <c r="J523" s="1"/>
      <c r="K523" s="36"/>
    </row>
    <row r="524" spans="1:11" x14ac:dyDescent="0.2">
      <c r="A524" s="1"/>
      <c r="B524" s="1"/>
      <c r="C524" s="1"/>
      <c r="H524" s="1"/>
      <c r="I524" s="1"/>
      <c r="J524" s="1"/>
      <c r="K524" s="36"/>
    </row>
    <row r="525" spans="1:11" x14ac:dyDescent="0.2">
      <c r="A525" s="1"/>
      <c r="B525" s="1"/>
      <c r="C525" s="1"/>
      <c r="H525" s="1"/>
      <c r="I525" s="1"/>
      <c r="J525" s="1"/>
      <c r="K525" s="36"/>
    </row>
    <row r="526" spans="1:11" x14ac:dyDescent="0.2">
      <c r="A526" s="1"/>
      <c r="B526" s="1"/>
      <c r="C526" s="1"/>
      <c r="H526" s="1"/>
      <c r="I526" s="1"/>
      <c r="J526" s="1"/>
      <c r="K526" s="36"/>
    </row>
    <row r="527" spans="1:11" x14ac:dyDescent="0.2">
      <c r="A527" s="1"/>
      <c r="B527" s="1"/>
      <c r="C527" s="1"/>
      <c r="H527" s="1"/>
      <c r="I527" s="1"/>
      <c r="J527" s="1"/>
      <c r="K527" s="36"/>
    </row>
    <row r="528" spans="1:11" x14ac:dyDescent="0.2">
      <c r="A528" s="1"/>
      <c r="B528" s="1"/>
      <c r="C528" s="1"/>
      <c r="H528" s="1"/>
      <c r="I528" s="1"/>
      <c r="J528" s="1"/>
      <c r="K528" s="36"/>
    </row>
    <row r="529" spans="1:11" x14ac:dyDescent="0.2">
      <c r="A529" s="1"/>
      <c r="B529" s="1"/>
      <c r="C529" s="1"/>
      <c r="H529" s="1"/>
      <c r="I529" s="1"/>
      <c r="J529" s="1"/>
      <c r="K529" s="36"/>
    </row>
    <row r="530" spans="1:11" x14ac:dyDescent="0.2">
      <c r="A530" s="1"/>
      <c r="B530" s="1"/>
      <c r="C530" s="1"/>
      <c r="H530" s="1"/>
      <c r="I530" s="1"/>
      <c r="J530" s="1"/>
      <c r="K530" s="36"/>
    </row>
    <row r="531" spans="1:11" x14ac:dyDescent="0.2">
      <c r="A531" s="1"/>
      <c r="B531" s="1"/>
      <c r="C531" s="1"/>
      <c r="H531" s="1"/>
      <c r="I531" s="1"/>
      <c r="J531" s="1"/>
      <c r="K531" s="36"/>
    </row>
    <row r="532" spans="1:11" x14ac:dyDescent="0.2">
      <c r="A532" s="1"/>
      <c r="B532" s="1"/>
      <c r="C532" s="1"/>
      <c r="H532" s="1"/>
      <c r="I532" s="1"/>
      <c r="J532" s="1"/>
      <c r="K532" s="36"/>
    </row>
    <row r="533" spans="1:11" x14ac:dyDescent="0.2">
      <c r="A533" s="1"/>
      <c r="B533" s="1"/>
      <c r="C533" s="1"/>
      <c r="H533" s="1"/>
      <c r="I533" s="1"/>
      <c r="J533" s="1"/>
      <c r="K533" s="36"/>
    </row>
    <row r="534" spans="1:11" x14ac:dyDescent="0.2">
      <c r="A534" s="1"/>
      <c r="B534" s="1"/>
      <c r="C534" s="1"/>
      <c r="H534" s="1"/>
      <c r="I534" s="1"/>
      <c r="J534" s="1"/>
      <c r="K534" s="36"/>
    </row>
    <row r="535" spans="1:11" x14ac:dyDescent="0.2">
      <c r="A535" s="1"/>
      <c r="B535" s="1"/>
      <c r="C535" s="1"/>
      <c r="H535" s="1"/>
      <c r="I535" s="1"/>
      <c r="J535" s="1"/>
      <c r="K535" s="36"/>
    </row>
    <row r="536" spans="1:11" x14ac:dyDescent="0.2">
      <c r="A536" s="1"/>
      <c r="B536" s="1"/>
      <c r="C536" s="1"/>
      <c r="H536" s="1"/>
      <c r="I536" s="1"/>
      <c r="J536" s="1"/>
      <c r="K536" s="36"/>
    </row>
    <row r="537" spans="1:11" x14ac:dyDescent="0.2">
      <c r="A537" s="1"/>
      <c r="B537" s="1"/>
      <c r="C537" s="1"/>
      <c r="H537" s="1"/>
      <c r="I537" s="1"/>
      <c r="J537" s="1"/>
      <c r="K537" s="36"/>
    </row>
    <row r="538" spans="1:11" x14ac:dyDescent="0.2">
      <c r="A538" s="1"/>
      <c r="B538" s="1"/>
      <c r="C538" s="1"/>
      <c r="H538" s="1"/>
      <c r="I538" s="1"/>
      <c r="J538" s="1"/>
      <c r="K538" s="36"/>
    </row>
    <row r="539" spans="1:11" x14ac:dyDescent="0.2">
      <c r="A539" s="1"/>
      <c r="B539" s="1"/>
      <c r="C539" s="1"/>
      <c r="H539" s="1"/>
      <c r="I539" s="1"/>
      <c r="J539" s="1"/>
      <c r="K539" s="36"/>
    </row>
    <row r="540" spans="1:11" x14ac:dyDescent="0.2">
      <c r="A540" s="1"/>
      <c r="B540" s="1"/>
      <c r="C540" s="1"/>
      <c r="H540" s="1"/>
      <c r="I540" s="1"/>
      <c r="J540" s="1"/>
      <c r="K540" s="36"/>
    </row>
    <row r="541" spans="1:11" x14ac:dyDescent="0.2">
      <c r="A541" s="1"/>
      <c r="B541" s="1"/>
      <c r="C541" s="1"/>
      <c r="H541" s="1"/>
      <c r="I541" s="1"/>
      <c r="J541" s="1"/>
      <c r="K541" s="36"/>
    </row>
    <row r="542" spans="1:11" x14ac:dyDescent="0.2">
      <c r="A542" s="1"/>
      <c r="B542" s="1"/>
      <c r="C542" s="1"/>
      <c r="H542" s="1"/>
      <c r="I542" s="1"/>
      <c r="J542" s="1"/>
      <c r="K542" s="36"/>
    </row>
    <row r="543" spans="1:11" x14ac:dyDescent="0.2">
      <c r="A543" s="1"/>
      <c r="B543" s="1"/>
      <c r="C543" s="1"/>
      <c r="H543" s="1"/>
      <c r="I543" s="1"/>
      <c r="J543" s="1"/>
      <c r="K543" s="36"/>
    </row>
    <row r="544" spans="1:11" x14ac:dyDescent="0.2">
      <c r="A544" s="1"/>
      <c r="B544" s="1"/>
      <c r="C544" s="1"/>
      <c r="H544" s="1"/>
      <c r="I544" s="1"/>
      <c r="J544" s="1"/>
      <c r="K544" s="36"/>
    </row>
    <row r="545" spans="1:11" x14ac:dyDescent="0.2">
      <c r="A545" s="1"/>
      <c r="B545" s="1"/>
      <c r="C545" s="1"/>
      <c r="H545" s="1"/>
      <c r="I545" s="1"/>
      <c r="J545" s="1"/>
      <c r="K545" s="36"/>
    </row>
    <row r="546" spans="1:11" x14ac:dyDescent="0.2">
      <c r="A546" s="1"/>
      <c r="B546" s="1"/>
      <c r="C546" s="1"/>
      <c r="H546" s="1"/>
      <c r="I546" s="1"/>
      <c r="J546" s="1"/>
      <c r="K546" s="36"/>
    </row>
    <row r="547" spans="1:11" x14ac:dyDescent="0.2">
      <c r="A547" s="1"/>
      <c r="B547" s="1"/>
      <c r="C547" s="1"/>
      <c r="H547" s="1"/>
      <c r="I547" s="1"/>
      <c r="J547" s="1"/>
      <c r="K547" s="36"/>
    </row>
    <row r="548" spans="1:11" x14ac:dyDescent="0.2">
      <c r="A548" s="1"/>
      <c r="B548" s="1"/>
      <c r="C548" s="1"/>
      <c r="H548" s="1"/>
      <c r="I548" s="1"/>
      <c r="J548" s="1"/>
      <c r="K548" s="36"/>
    </row>
    <row r="549" spans="1:11" x14ac:dyDescent="0.2">
      <c r="A549" s="1"/>
      <c r="B549" s="1"/>
      <c r="C549" s="1"/>
      <c r="H549" s="1"/>
      <c r="I549" s="1"/>
      <c r="J549" s="1"/>
      <c r="K549" s="36"/>
    </row>
    <row r="550" spans="1:11" x14ac:dyDescent="0.2">
      <c r="A550" s="1"/>
      <c r="B550" s="1"/>
      <c r="C550" s="1"/>
      <c r="H550" s="1"/>
      <c r="I550" s="1"/>
      <c r="J550" s="1"/>
      <c r="K550" s="36"/>
    </row>
    <row r="551" spans="1:11" x14ac:dyDescent="0.2">
      <c r="A551" s="1"/>
      <c r="B551" s="1"/>
      <c r="C551" s="1"/>
      <c r="H551" s="1"/>
      <c r="I551" s="1"/>
      <c r="J551" s="1"/>
      <c r="K551" s="36"/>
    </row>
    <row r="552" spans="1:11" x14ac:dyDescent="0.2">
      <c r="A552" s="1"/>
      <c r="B552" s="1"/>
      <c r="C552" s="1"/>
      <c r="H552" s="1"/>
      <c r="I552" s="1"/>
      <c r="J552" s="1"/>
      <c r="K552" s="36"/>
    </row>
    <row r="553" spans="1:11" x14ac:dyDescent="0.2">
      <c r="A553" s="1"/>
      <c r="B553" s="1"/>
      <c r="C553" s="1"/>
      <c r="H553" s="1"/>
      <c r="I553" s="1"/>
      <c r="J553" s="1"/>
      <c r="K553" s="36"/>
    </row>
    <row r="554" spans="1:11" x14ac:dyDescent="0.2">
      <c r="A554" s="1"/>
      <c r="B554" s="1"/>
      <c r="C554" s="1"/>
      <c r="H554" s="1"/>
      <c r="I554" s="1"/>
      <c r="J554" s="1"/>
      <c r="K554" s="36"/>
    </row>
    <row r="555" spans="1:11" x14ac:dyDescent="0.2">
      <c r="A555" s="1"/>
      <c r="B555" s="1"/>
      <c r="C555" s="1"/>
      <c r="H555" s="1"/>
      <c r="I555" s="1"/>
      <c r="J555" s="1"/>
      <c r="K555" s="36"/>
    </row>
    <row r="556" spans="1:11" x14ac:dyDescent="0.2">
      <c r="A556" s="1"/>
      <c r="B556" s="1"/>
      <c r="C556" s="1"/>
      <c r="H556" s="1"/>
      <c r="I556" s="1"/>
      <c r="J556" s="1"/>
      <c r="K556" s="36"/>
    </row>
    <row r="557" spans="1:11" x14ac:dyDescent="0.2">
      <c r="A557" s="1"/>
      <c r="B557" s="1"/>
      <c r="C557" s="1"/>
      <c r="H557" s="1"/>
      <c r="I557" s="1"/>
      <c r="J557" s="1"/>
      <c r="K557" s="36"/>
    </row>
    <row r="558" spans="1:11" x14ac:dyDescent="0.2">
      <c r="A558" s="1"/>
      <c r="B558" s="1"/>
      <c r="C558" s="1"/>
      <c r="H558" s="1"/>
      <c r="I558" s="1"/>
      <c r="J558" s="1"/>
      <c r="K558" s="36"/>
    </row>
    <row r="559" spans="1:11" x14ac:dyDescent="0.2">
      <c r="A559" s="1"/>
      <c r="B559" s="1"/>
      <c r="C559" s="1"/>
      <c r="H559" s="1"/>
      <c r="I559" s="1"/>
      <c r="J559" s="1"/>
      <c r="K559" s="36"/>
    </row>
    <row r="560" spans="1:11" x14ac:dyDescent="0.2">
      <c r="A560" s="1"/>
      <c r="B560" s="1"/>
      <c r="C560" s="1"/>
      <c r="H560" s="1"/>
      <c r="I560" s="1"/>
      <c r="J560" s="1"/>
      <c r="K560" s="36"/>
    </row>
    <row r="561" spans="1:11" x14ac:dyDescent="0.2">
      <c r="A561" s="1"/>
      <c r="B561" s="1"/>
      <c r="C561" s="1"/>
      <c r="H561" s="1"/>
      <c r="I561" s="1"/>
      <c r="J561" s="1"/>
      <c r="K561" s="36"/>
    </row>
    <row r="562" spans="1:11" x14ac:dyDescent="0.2">
      <c r="A562" s="1"/>
      <c r="B562" s="1"/>
      <c r="C562" s="1"/>
      <c r="H562" s="1"/>
      <c r="I562" s="1"/>
      <c r="J562" s="1"/>
      <c r="K562" s="36"/>
    </row>
    <row r="563" spans="1:11" x14ac:dyDescent="0.2">
      <c r="A563" s="1"/>
      <c r="B563" s="1"/>
      <c r="C563" s="1"/>
      <c r="H563" s="1"/>
      <c r="I563" s="1"/>
      <c r="J563" s="1"/>
      <c r="K563" s="36"/>
    </row>
    <row r="564" spans="1:11" x14ac:dyDescent="0.2">
      <c r="A564" s="1"/>
      <c r="B564" s="1"/>
      <c r="C564" s="1"/>
      <c r="H564" s="1"/>
      <c r="I564" s="1"/>
      <c r="J564" s="1"/>
      <c r="K564" s="36"/>
    </row>
    <row r="565" spans="1:11" x14ac:dyDescent="0.2">
      <c r="A565" s="1"/>
      <c r="B565" s="1"/>
      <c r="C565" s="1"/>
      <c r="H565" s="1"/>
      <c r="I565" s="1"/>
      <c r="J565" s="1"/>
      <c r="K565" s="36"/>
    </row>
    <row r="566" spans="1:11" x14ac:dyDescent="0.2">
      <c r="A566" s="1"/>
      <c r="B566" s="1"/>
      <c r="C566" s="1"/>
      <c r="H566" s="1"/>
      <c r="I566" s="1"/>
      <c r="J566" s="1"/>
      <c r="K566" s="36"/>
    </row>
    <row r="567" spans="1:11" x14ac:dyDescent="0.2">
      <c r="A567" s="1"/>
      <c r="B567" s="1"/>
      <c r="C567" s="1"/>
      <c r="H567" s="1"/>
      <c r="I567" s="1"/>
      <c r="J567" s="1"/>
      <c r="K567" s="36"/>
    </row>
    <row r="568" spans="1:11" x14ac:dyDescent="0.2">
      <c r="A568" s="1"/>
      <c r="B568" s="1"/>
      <c r="C568" s="1"/>
      <c r="H568" s="1"/>
      <c r="I568" s="1"/>
      <c r="J568" s="1"/>
      <c r="K568" s="36"/>
    </row>
    <row r="569" spans="1:11" x14ac:dyDescent="0.2">
      <c r="A569" s="1"/>
      <c r="B569" s="1"/>
      <c r="C569" s="1"/>
      <c r="H569" s="1"/>
      <c r="I569" s="1"/>
      <c r="J569" s="1"/>
      <c r="K569" s="36"/>
    </row>
    <row r="570" spans="1:11" x14ac:dyDescent="0.2">
      <c r="A570" s="1"/>
      <c r="B570" s="1"/>
      <c r="C570" s="1"/>
      <c r="H570" s="1"/>
      <c r="I570" s="1"/>
      <c r="J570" s="1"/>
      <c r="K570" s="36"/>
    </row>
    <row r="571" spans="1:11" x14ac:dyDescent="0.2">
      <c r="A571" s="1"/>
      <c r="B571" s="1"/>
      <c r="C571" s="1"/>
      <c r="H571" s="1"/>
      <c r="I571" s="1"/>
      <c r="J571" s="1"/>
      <c r="K571" s="36"/>
    </row>
    <row r="572" spans="1:11" x14ac:dyDescent="0.2">
      <c r="A572" s="1"/>
      <c r="B572" s="1"/>
      <c r="C572" s="1"/>
      <c r="H572" s="1"/>
      <c r="I572" s="1"/>
      <c r="J572" s="1"/>
      <c r="K572" s="36"/>
    </row>
    <row r="573" spans="1:11" x14ac:dyDescent="0.2">
      <c r="A573" s="1"/>
      <c r="B573" s="1"/>
      <c r="C573" s="1"/>
      <c r="H573" s="1"/>
      <c r="I573" s="1"/>
      <c r="J573" s="1"/>
      <c r="K573" s="36"/>
    </row>
    <row r="574" spans="1:11" x14ac:dyDescent="0.2">
      <c r="A574" s="1"/>
      <c r="B574" s="1"/>
      <c r="C574" s="1"/>
      <c r="H574" s="1"/>
      <c r="I574" s="1"/>
      <c r="J574" s="1"/>
      <c r="K574" s="36"/>
    </row>
    <row r="575" spans="1:11" x14ac:dyDescent="0.2">
      <c r="A575" s="1"/>
      <c r="B575" s="1"/>
      <c r="C575" s="1"/>
      <c r="H575" s="1"/>
      <c r="I575" s="1"/>
      <c r="J575" s="1"/>
      <c r="K575" s="36"/>
    </row>
    <row r="576" spans="1:11" x14ac:dyDescent="0.2">
      <c r="A576" s="1"/>
      <c r="B576" s="1"/>
      <c r="C576" s="1"/>
      <c r="H576" s="1"/>
      <c r="I576" s="1"/>
      <c r="J576" s="1"/>
      <c r="K576" s="36"/>
    </row>
    <row r="577" spans="1:11" x14ac:dyDescent="0.2">
      <c r="A577" s="1"/>
      <c r="B577" s="1"/>
      <c r="C577" s="1"/>
      <c r="H577" s="1"/>
      <c r="I577" s="1"/>
      <c r="J577" s="1"/>
      <c r="K577" s="36"/>
    </row>
    <row r="578" spans="1:11" x14ac:dyDescent="0.2">
      <c r="A578" s="1"/>
      <c r="B578" s="1"/>
      <c r="C578" s="1"/>
      <c r="H578" s="1"/>
      <c r="I578" s="1"/>
      <c r="J578" s="1"/>
      <c r="K578" s="36"/>
    </row>
    <row r="579" spans="1:11" x14ac:dyDescent="0.2">
      <c r="A579" s="1"/>
      <c r="B579" s="1"/>
      <c r="C579" s="1"/>
      <c r="H579" s="1"/>
      <c r="I579" s="1"/>
      <c r="J579" s="1"/>
      <c r="K579" s="36"/>
    </row>
    <row r="580" spans="1:11" x14ac:dyDescent="0.2">
      <c r="A580" s="1"/>
      <c r="B580" s="1"/>
      <c r="C580" s="1"/>
      <c r="H580" s="1"/>
      <c r="I580" s="1"/>
      <c r="J580" s="1"/>
      <c r="K580" s="36"/>
    </row>
    <row r="581" spans="1:11" x14ac:dyDescent="0.2">
      <c r="A581" s="1"/>
      <c r="B581" s="1"/>
      <c r="C581" s="1"/>
      <c r="H581" s="1"/>
      <c r="I581" s="1"/>
      <c r="J581" s="1"/>
      <c r="K581" s="36"/>
    </row>
    <row r="582" spans="1:11" x14ac:dyDescent="0.2">
      <c r="A582" s="1"/>
      <c r="B582" s="1"/>
      <c r="C582" s="1"/>
      <c r="H582" s="1"/>
      <c r="I582" s="1"/>
      <c r="J582" s="1"/>
      <c r="K582" s="36"/>
    </row>
    <row r="583" spans="1:11" x14ac:dyDescent="0.2">
      <c r="A583" s="1"/>
      <c r="B583" s="1"/>
      <c r="C583" s="1"/>
      <c r="H583" s="1"/>
      <c r="I583" s="1"/>
      <c r="J583" s="1"/>
      <c r="K583" s="36"/>
    </row>
    <row r="584" spans="1:11" x14ac:dyDescent="0.2">
      <c r="A584" s="1"/>
      <c r="B584" s="1"/>
      <c r="C584" s="1"/>
      <c r="H584" s="1"/>
      <c r="I584" s="1"/>
      <c r="J584" s="1"/>
      <c r="K584" s="36"/>
    </row>
    <row r="585" spans="1:11" x14ac:dyDescent="0.2">
      <c r="A585" s="1"/>
      <c r="B585" s="1"/>
      <c r="C585" s="1"/>
      <c r="H585" s="1"/>
      <c r="I585" s="1"/>
      <c r="J585" s="1"/>
      <c r="K585" s="36"/>
    </row>
    <row r="586" spans="1:11" x14ac:dyDescent="0.2">
      <c r="A586" s="1"/>
      <c r="B586" s="1"/>
      <c r="C586" s="1"/>
      <c r="H586" s="1"/>
      <c r="I586" s="1"/>
      <c r="J586" s="1"/>
      <c r="K586" s="36"/>
    </row>
    <row r="587" spans="1:11" x14ac:dyDescent="0.2">
      <c r="A587" s="1"/>
      <c r="B587" s="1"/>
      <c r="C587" s="1"/>
      <c r="H587" s="1"/>
      <c r="I587" s="1"/>
      <c r="J587" s="1"/>
      <c r="K587" s="36"/>
    </row>
    <row r="588" spans="1:11" x14ac:dyDescent="0.2">
      <c r="A588" s="1"/>
      <c r="B588" s="1"/>
      <c r="C588" s="1"/>
      <c r="H588" s="1"/>
      <c r="I588" s="1"/>
      <c r="J588" s="1"/>
      <c r="K588" s="36"/>
    </row>
    <row r="589" spans="1:11" x14ac:dyDescent="0.2">
      <c r="A589" s="1"/>
      <c r="B589" s="1"/>
      <c r="C589" s="1"/>
      <c r="H589" s="1"/>
      <c r="I589" s="1"/>
      <c r="J589" s="1"/>
      <c r="K589" s="36"/>
    </row>
    <row r="590" spans="1:11" x14ac:dyDescent="0.2">
      <c r="A590" s="1"/>
      <c r="B590" s="1"/>
      <c r="C590" s="1"/>
      <c r="H590" s="1"/>
      <c r="I590" s="1"/>
      <c r="J590" s="1"/>
      <c r="K590" s="36"/>
    </row>
    <row r="591" spans="1:11" x14ac:dyDescent="0.2">
      <c r="A591" s="1"/>
      <c r="B591" s="1"/>
      <c r="C591" s="1"/>
      <c r="H591" s="1"/>
      <c r="I591" s="1"/>
      <c r="J591" s="1"/>
      <c r="K591" s="36"/>
    </row>
    <row r="592" spans="1:11" x14ac:dyDescent="0.2">
      <c r="A592" s="1"/>
      <c r="B592" s="1"/>
      <c r="C592" s="1"/>
      <c r="H592" s="1"/>
      <c r="I592" s="1"/>
      <c r="J592" s="1"/>
      <c r="K592" s="36"/>
    </row>
    <row r="593" spans="1:11" x14ac:dyDescent="0.2">
      <c r="A593" s="1"/>
      <c r="B593" s="1"/>
      <c r="C593" s="1"/>
      <c r="H593" s="1"/>
      <c r="I593" s="1"/>
      <c r="J593" s="1"/>
      <c r="K593" s="36"/>
    </row>
    <row r="594" spans="1:11" x14ac:dyDescent="0.2">
      <c r="A594" s="1"/>
      <c r="B594" s="1"/>
      <c r="C594" s="1"/>
      <c r="H594" s="1"/>
      <c r="I594" s="1"/>
      <c r="J594" s="1"/>
      <c r="K594" s="36"/>
    </row>
    <row r="595" spans="1:11" x14ac:dyDescent="0.2">
      <c r="A595" s="1"/>
      <c r="B595" s="1"/>
      <c r="C595" s="1"/>
      <c r="H595" s="1"/>
      <c r="I595" s="1"/>
      <c r="J595" s="1"/>
      <c r="K595" s="36"/>
    </row>
    <row r="596" spans="1:11" x14ac:dyDescent="0.2">
      <c r="A596" s="1"/>
      <c r="B596" s="1"/>
      <c r="C596" s="1"/>
      <c r="H596" s="1"/>
      <c r="I596" s="1"/>
      <c r="J596" s="1"/>
      <c r="K596" s="36"/>
    </row>
    <row r="597" spans="1:11" x14ac:dyDescent="0.2">
      <c r="A597" s="1"/>
      <c r="B597" s="1"/>
      <c r="C597" s="1"/>
      <c r="H597" s="1"/>
      <c r="I597" s="1"/>
      <c r="J597" s="1"/>
      <c r="K597" s="36"/>
    </row>
    <row r="598" spans="1:11" x14ac:dyDescent="0.2">
      <c r="A598" s="1"/>
      <c r="B598" s="1"/>
      <c r="C598" s="1"/>
      <c r="H598" s="1"/>
      <c r="I598" s="1"/>
      <c r="J598" s="1"/>
      <c r="K598" s="36"/>
    </row>
    <row r="599" spans="1:11" x14ac:dyDescent="0.2">
      <c r="A599" s="1"/>
      <c r="B599" s="1"/>
      <c r="C599" s="1"/>
      <c r="H599" s="1"/>
      <c r="I599" s="1"/>
      <c r="J599" s="1"/>
      <c r="K599" s="36"/>
    </row>
    <row r="600" spans="1:11" x14ac:dyDescent="0.2">
      <c r="A600" s="1"/>
      <c r="B600" s="1"/>
      <c r="C600" s="1"/>
      <c r="H600" s="1"/>
      <c r="I600" s="1"/>
      <c r="J600" s="1"/>
    </row>
    <row r="601" spans="1:11" x14ac:dyDescent="0.2">
      <c r="A601" s="1"/>
      <c r="B601" s="1"/>
      <c r="C601" s="1"/>
      <c r="H601" s="1"/>
      <c r="I601" s="1"/>
      <c r="J601" s="1"/>
    </row>
    <row r="602" spans="1:11" x14ac:dyDescent="0.2">
      <c r="A602" s="1"/>
      <c r="B602" s="1"/>
      <c r="C602" s="1"/>
      <c r="H602" s="1"/>
      <c r="I602" s="1"/>
      <c r="J602" s="1"/>
    </row>
    <row r="603" spans="1:11" x14ac:dyDescent="0.2">
      <c r="A603" s="1"/>
      <c r="B603" s="1"/>
      <c r="C603" s="1"/>
      <c r="H603" s="1"/>
      <c r="I603" s="1"/>
      <c r="J603" s="1"/>
    </row>
    <row r="604" spans="1:11" x14ac:dyDescent="0.2">
      <c r="A604" s="1"/>
      <c r="B604" s="1"/>
      <c r="C604" s="1"/>
      <c r="H604" s="1"/>
      <c r="I604" s="1"/>
      <c r="J604" s="1"/>
    </row>
    <row r="605" spans="1:11" x14ac:dyDescent="0.2">
      <c r="A605" s="1"/>
      <c r="B605" s="1"/>
      <c r="C605" s="1"/>
      <c r="H605" s="1"/>
      <c r="I605" s="1"/>
      <c r="J605" s="1"/>
    </row>
    <row r="606" spans="1:11" x14ac:dyDescent="0.2">
      <c r="A606" s="1"/>
      <c r="B606" s="1"/>
      <c r="C606" s="1"/>
      <c r="H606" s="1"/>
      <c r="I606" s="1"/>
      <c r="J606" s="1"/>
    </row>
    <row r="607" spans="1:11" x14ac:dyDescent="0.2">
      <c r="A607" s="1"/>
      <c r="B607" s="1"/>
      <c r="C607" s="1"/>
      <c r="H607" s="1"/>
      <c r="I607" s="1"/>
      <c r="J607" s="1"/>
    </row>
    <row r="608" spans="1:11" x14ac:dyDescent="0.2">
      <c r="A608" s="1"/>
      <c r="B608" s="1"/>
      <c r="C608" s="1"/>
      <c r="H608" s="1"/>
      <c r="I608" s="1"/>
      <c r="J608" s="1"/>
    </row>
    <row r="609" spans="1:10" x14ac:dyDescent="0.2">
      <c r="A609" s="1"/>
      <c r="B609" s="1"/>
      <c r="C609" s="1"/>
      <c r="H609" s="1"/>
      <c r="I609" s="1"/>
      <c r="J609" s="1"/>
    </row>
    <row r="610" spans="1:10" x14ac:dyDescent="0.2">
      <c r="A610" s="1"/>
      <c r="B610" s="1"/>
      <c r="C610" s="1"/>
      <c r="H610" s="1"/>
      <c r="I610" s="1"/>
      <c r="J610" s="1"/>
    </row>
    <row r="611" spans="1:10" x14ac:dyDescent="0.2">
      <c r="A611" s="1"/>
      <c r="B611" s="1"/>
      <c r="C611" s="1"/>
      <c r="H611" s="1"/>
      <c r="I611" s="1"/>
      <c r="J611" s="1"/>
    </row>
    <row r="612" spans="1:10" x14ac:dyDescent="0.2">
      <c r="A612" s="1"/>
      <c r="B612" s="1"/>
      <c r="C612" s="1"/>
      <c r="H612" s="1"/>
      <c r="I612" s="1"/>
      <c r="J612" s="1"/>
    </row>
    <row r="613" spans="1:10" x14ac:dyDescent="0.2">
      <c r="A613" s="1"/>
      <c r="B613" s="1"/>
      <c r="C613" s="1"/>
      <c r="H613" s="1"/>
      <c r="I613" s="1"/>
      <c r="J613" s="1"/>
    </row>
    <row r="614" spans="1:10" x14ac:dyDescent="0.2">
      <c r="A614" s="1"/>
      <c r="B614" s="1"/>
      <c r="C614" s="1"/>
      <c r="H614" s="1"/>
      <c r="I614" s="1"/>
      <c r="J614" s="1"/>
    </row>
    <row r="615" spans="1:10" x14ac:dyDescent="0.2">
      <c r="A615" s="1"/>
      <c r="B615" s="1"/>
      <c r="C615" s="1"/>
      <c r="H615" s="1"/>
      <c r="I615" s="1"/>
      <c r="J615" s="1"/>
    </row>
    <row r="616" spans="1:10" x14ac:dyDescent="0.2">
      <c r="A616" s="1"/>
      <c r="B616" s="1"/>
      <c r="C616" s="1"/>
      <c r="H616" s="1"/>
      <c r="I616" s="1"/>
      <c r="J616" s="1"/>
    </row>
    <row r="617" spans="1:10" x14ac:dyDescent="0.2">
      <c r="A617" s="1"/>
      <c r="B617" s="1"/>
      <c r="C617" s="1"/>
      <c r="H617" s="1"/>
      <c r="I617" s="1"/>
      <c r="J617" s="1"/>
    </row>
    <row r="618" spans="1:10" x14ac:dyDescent="0.2">
      <c r="A618" s="1"/>
      <c r="B618" s="1"/>
      <c r="C618" s="1"/>
      <c r="H618" s="1"/>
      <c r="I618" s="1"/>
      <c r="J618" s="1"/>
    </row>
    <row r="619" spans="1:10" x14ac:dyDescent="0.2">
      <c r="A619" s="1"/>
      <c r="B619" s="1"/>
      <c r="C619" s="1"/>
      <c r="H619" s="1"/>
      <c r="I619" s="1"/>
      <c r="J619" s="1"/>
    </row>
    <row r="620" spans="1:10" x14ac:dyDescent="0.2">
      <c r="A620" s="1"/>
      <c r="B620" s="1"/>
      <c r="C620" s="1"/>
      <c r="H620" s="1"/>
      <c r="I620" s="1"/>
      <c r="J620" s="1"/>
    </row>
    <row r="621" spans="1:10" x14ac:dyDescent="0.2">
      <c r="A621" s="1"/>
      <c r="B621" s="1"/>
      <c r="C621" s="1"/>
      <c r="H621" s="1"/>
      <c r="I621" s="1"/>
      <c r="J621" s="1"/>
    </row>
    <row r="622" spans="1:10" x14ac:dyDescent="0.2">
      <c r="A622" s="1"/>
      <c r="B622" s="1"/>
      <c r="C622" s="1"/>
      <c r="H622" s="1"/>
      <c r="I622" s="1"/>
      <c r="J622" s="1"/>
    </row>
    <row r="623" spans="1:10" x14ac:dyDescent="0.2">
      <c r="A623" s="1"/>
      <c r="B623" s="1"/>
      <c r="C623" s="1"/>
      <c r="H623" s="1"/>
      <c r="I623" s="1"/>
      <c r="J623" s="1"/>
    </row>
    <row r="624" spans="1:10" x14ac:dyDescent="0.2">
      <c r="A624" s="1"/>
      <c r="B624" s="1"/>
      <c r="C624" s="1"/>
      <c r="H624" s="1"/>
      <c r="I624" s="1"/>
      <c r="J624" s="1"/>
    </row>
    <row r="625" spans="1:10" x14ac:dyDescent="0.2">
      <c r="A625" s="1"/>
      <c r="B625" s="1"/>
      <c r="C625" s="1"/>
      <c r="H625" s="1"/>
      <c r="I625" s="1"/>
      <c r="J625" s="1"/>
    </row>
    <row r="626" spans="1:10" x14ac:dyDescent="0.2">
      <c r="A626" s="1"/>
      <c r="B626" s="1"/>
      <c r="C626" s="1"/>
      <c r="H626" s="1"/>
      <c r="I626" s="1"/>
      <c r="J626" s="1"/>
    </row>
    <row r="627" spans="1:10" x14ac:dyDescent="0.2">
      <c r="A627" s="1"/>
      <c r="B627" s="1"/>
      <c r="C627" s="1"/>
      <c r="H627" s="1"/>
      <c r="I627" s="1"/>
      <c r="J627" s="1"/>
    </row>
    <row r="628" spans="1:10" x14ac:dyDescent="0.2">
      <c r="A628" s="1"/>
      <c r="B628" s="1"/>
      <c r="C628" s="1"/>
      <c r="H628" s="1"/>
      <c r="I628" s="1"/>
      <c r="J628" s="1"/>
    </row>
    <row r="629" spans="1:10" x14ac:dyDescent="0.2">
      <c r="A629" s="1"/>
      <c r="B629" s="1"/>
      <c r="C629" s="1"/>
      <c r="H629" s="1"/>
      <c r="I629" s="1"/>
      <c r="J629" s="1"/>
    </row>
    <row r="630" spans="1:10" x14ac:dyDescent="0.2">
      <c r="A630" s="1"/>
      <c r="B630" s="1"/>
      <c r="C630" s="1"/>
      <c r="H630" s="1"/>
      <c r="I630" s="1"/>
      <c r="J630" s="1"/>
    </row>
    <row r="631" spans="1:10" x14ac:dyDescent="0.2">
      <c r="A631" s="1"/>
      <c r="B631" s="1"/>
      <c r="C631" s="1"/>
      <c r="H631" s="1"/>
      <c r="I631" s="1"/>
      <c r="J631" s="1"/>
    </row>
    <row r="632" spans="1:10" x14ac:dyDescent="0.2">
      <c r="A632" s="1"/>
      <c r="B632" s="1"/>
      <c r="C632" s="1"/>
      <c r="H632" s="1"/>
      <c r="I632" s="1"/>
      <c r="J632" s="1"/>
    </row>
    <row r="633" spans="1:10" x14ac:dyDescent="0.2">
      <c r="A633" s="1"/>
      <c r="B633" s="1"/>
      <c r="C633" s="1"/>
      <c r="H633" s="1"/>
      <c r="I633" s="1"/>
      <c r="J633" s="1"/>
    </row>
    <row r="634" spans="1:10" x14ac:dyDescent="0.2">
      <c r="A634" s="1"/>
      <c r="B634" s="1"/>
      <c r="C634" s="1"/>
      <c r="H634" s="1"/>
      <c r="I634" s="1"/>
      <c r="J634" s="1"/>
    </row>
    <row r="635" spans="1:10" x14ac:dyDescent="0.2">
      <c r="A635" s="1"/>
      <c r="B635" s="1"/>
      <c r="C635" s="1"/>
      <c r="H635" s="1"/>
      <c r="I635" s="1"/>
      <c r="J635" s="1"/>
    </row>
    <row r="636" spans="1:10" x14ac:dyDescent="0.2">
      <c r="A636" s="1"/>
      <c r="B636" s="1"/>
      <c r="C636" s="1"/>
      <c r="H636" s="1"/>
      <c r="I636" s="1"/>
      <c r="J636" s="1"/>
    </row>
    <row r="637" spans="1:10" x14ac:dyDescent="0.2">
      <c r="A637" s="1"/>
      <c r="B637" s="1"/>
      <c r="C637" s="1"/>
      <c r="H637" s="1"/>
      <c r="I637" s="1"/>
      <c r="J637" s="1"/>
    </row>
    <row r="638" spans="1:10" x14ac:dyDescent="0.2">
      <c r="A638" s="1"/>
      <c r="B638" s="1"/>
      <c r="C638" s="1"/>
      <c r="H638" s="1"/>
      <c r="I638" s="1"/>
      <c r="J638" s="1"/>
    </row>
    <row r="639" spans="1:10" x14ac:dyDescent="0.2">
      <c r="A639" s="1"/>
      <c r="B639" s="1"/>
      <c r="C639" s="1"/>
      <c r="H639" s="1"/>
      <c r="I639" s="1"/>
      <c r="J639" s="1"/>
    </row>
    <row r="640" spans="1:10" x14ac:dyDescent="0.2">
      <c r="A640" s="1"/>
      <c r="B640" s="1"/>
      <c r="C640" s="1"/>
      <c r="H640" s="1"/>
      <c r="I640" s="1"/>
      <c r="J640" s="1"/>
    </row>
    <row r="641" spans="1:10" x14ac:dyDescent="0.2">
      <c r="A641" s="1"/>
      <c r="B641" s="1"/>
      <c r="C641" s="1"/>
      <c r="H641" s="1"/>
      <c r="I641" s="1"/>
      <c r="J641" s="1"/>
    </row>
    <row r="642" spans="1:10" x14ac:dyDescent="0.2">
      <c r="A642" s="1"/>
      <c r="B642" s="1"/>
      <c r="C642" s="1"/>
      <c r="H642" s="1"/>
      <c r="I642" s="1"/>
      <c r="J642" s="1"/>
    </row>
    <row r="643" spans="1:10" x14ac:dyDescent="0.2">
      <c r="A643" s="1"/>
      <c r="B643" s="1"/>
      <c r="C643" s="1"/>
      <c r="H643" s="1"/>
      <c r="I643" s="1"/>
      <c r="J643" s="1"/>
    </row>
    <row r="644" spans="1:10" x14ac:dyDescent="0.2">
      <c r="A644" s="1"/>
      <c r="B644" s="1"/>
      <c r="C644" s="1"/>
      <c r="H644" s="1"/>
      <c r="I644" s="1"/>
      <c r="J644" s="1"/>
    </row>
    <row r="645" spans="1:10" x14ac:dyDescent="0.2">
      <c r="A645" s="1"/>
      <c r="B645" s="1"/>
      <c r="C645" s="1"/>
      <c r="H645" s="1"/>
      <c r="I645" s="1"/>
      <c r="J645" s="1"/>
    </row>
    <row r="646" spans="1:10" x14ac:dyDescent="0.2">
      <c r="A646" s="1"/>
      <c r="B646" s="1"/>
      <c r="C646" s="1"/>
      <c r="H646" s="1"/>
      <c r="I646" s="1"/>
      <c r="J646" s="1"/>
    </row>
    <row r="647" spans="1:10" x14ac:dyDescent="0.2">
      <c r="A647" s="1"/>
      <c r="B647" s="1"/>
      <c r="C647" s="1"/>
      <c r="H647" s="1"/>
      <c r="I647" s="1"/>
      <c r="J647" s="1"/>
    </row>
    <row r="648" spans="1:10" x14ac:dyDescent="0.2">
      <c r="A648" s="1"/>
      <c r="B648" s="1"/>
      <c r="C648" s="1"/>
      <c r="H648" s="1"/>
      <c r="I648" s="1"/>
      <c r="J648" s="1"/>
    </row>
    <row r="649" spans="1:10" x14ac:dyDescent="0.2">
      <c r="A649" s="1"/>
      <c r="B649" s="1"/>
      <c r="C649" s="1"/>
      <c r="H649" s="1"/>
      <c r="I649" s="1"/>
      <c r="J649" s="1"/>
    </row>
    <row r="650" spans="1:10" x14ac:dyDescent="0.2">
      <c r="A650" s="1"/>
      <c r="B650" s="1"/>
      <c r="C650" s="1"/>
      <c r="H650" s="1"/>
      <c r="I650" s="1"/>
      <c r="J650" s="1"/>
    </row>
    <row r="651" spans="1:10" x14ac:dyDescent="0.2">
      <c r="A651" s="1"/>
      <c r="B651" s="1"/>
      <c r="C651" s="1"/>
      <c r="H651" s="1"/>
      <c r="I651" s="1"/>
      <c r="J651" s="1"/>
    </row>
    <row r="652" spans="1:10" x14ac:dyDescent="0.2">
      <c r="A652" s="1"/>
      <c r="B652" s="1"/>
      <c r="C652" s="1"/>
      <c r="H652" s="1"/>
      <c r="I652" s="1"/>
      <c r="J652" s="1"/>
    </row>
    <row r="653" spans="1:10" x14ac:dyDescent="0.2">
      <c r="A653" s="1"/>
      <c r="B653" s="1"/>
      <c r="C653" s="1"/>
      <c r="H653" s="1"/>
      <c r="I653" s="1"/>
      <c r="J653" s="1"/>
    </row>
    <row r="654" spans="1:10" x14ac:dyDescent="0.2">
      <c r="A654" s="1"/>
      <c r="B654" s="1"/>
      <c r="C654" s="1"/>
      <c r="H654" s="1"/>
      <c r="I654" s="1"/>
      <c r="J654" s="1"/>
    </row>
    <row r="655" spans="1:10" x14ac:dyDescent="0.2">
      <c r="A655" s="1"/>
      <c r="B655" s="1"/>
      <c r="C655" s="1"/>
      <c r="H655" s="1"/>
      <c r="I655" s="1"/>
      <c r="J655" s="1"/>
    </row>
    <row r="656" spans="1:10" x14ac:dyDescent="0.2">
      <c r="A656" s="1"/>
      <c r="B656" s="1"/>
      <c r="C656" s="1"/>
      <c r="H656" s="1"/>
      <c r="I656" s="1"/>
      <c r="J656" s="1"/>
    </row>
    <row r="657" spans="1:10" x14ac:dyDescent="0.2">
      <c r="A657" s="1"/>
      <c r="B657" s="1"/>
      <c r="C657" s="1"/>
      <c r="H657" s="1"/>
      <c r="I657" s="1"/>
      <c r="J657" s="1"/>
    </row>
    <row r="658" spans="1:10" x14ac:dyDescent="0.2">
      <c r="A658" s="1"/>
      <c r="B658" s="1"/>
      <c r="C658" s="1"/>
      <c r="H658" s="1"/>
      <c r="I658" s="1"/>
      <c r="J658" s="1"/>
    </row>
    <row r="659" spans="1:10" x14ac:dyDescent="0.2">
      <c r="A659" s="1"/>
      <c r="B659" s="1"/>
      <c r="C659" s="1"/>
      <c r="H659" s="1"/>
      <c r="I659" s="1"/>
      <c r="J659" s="1"/>
    </row>
    <row r="660" spans="1:10" x14ac:dyDescent="0.2">
      <c r="A660" s="1"/>
      <c r="B660" s="1"/>
      <c r="C660" s="1"/>
      <c r="H660" s="1"/>
      <c r="I660" s="1"/>
      <c r="J660" s="1"/>
    </row>
    <row r="661" spans="1:10" x14ac:dyDescent="0.2">
      <c r="A661" s="1"/>
      <c r="B661" s="1"/>
      <c r="C661" s="1"/>
      <c r="H661" s="1"/>
      <c r="I661" s="1"/>
      <c r="J661" s="1"/>
    </row>
    <row r="662" spans="1:10" x14ac:dyDescent="0.2">
      <c r="A662" s="1"/>
      <c r="B662" s="1"/>
      <c r="C662" s="1"/>
      <c r="H662" s="1"/>
      <c r="I662" s="1"/>
      <c r="J662" s="1"/>
    </row>
    <row r="663" spans="1:10" x14ac:dyDescent="0.2">
      <c r="A663" s="1"/>
      <c r="B663" s="1"/>
      <c r="C663" s="1"/>
      <c r="H663" s="1"/>
      <c r="I663" s="1"/>
      <c r="J663" s="1"/>
    </row>
    <row r="664" spans="1:10" x14ac:dyDescent="0.2">
      <c r="A664" s="1"/>
      <c r="B664" s="1"/>
      <c r="C664" s="1"/>
      <c r="H664" s="1"/>
      <c r="I664" s="1"/>
      <c r="J664" s="1"/>
    </row>
    <row r="665" spans="1:10" x14ac:dyDescent="0.2">
      <c r="A665" s="1"/>
      <c r="B665" s="1"/>
      <c r="C665" s="1"/>
      <c r="H665" s="1"/>
      <c r="I665" s="1"/>
      <c r="J665" s="1"/>
    </row>
    <row r="666" spans="1:10" x14ac:dyDescent="0.2">
      <c r="A666" s="1"/>
      <c r="B666" s="1"/>
      <c r="C666" s="1"/>
      <c r="H666" s="1"/>
      <c r="I666" s="1"/>
      <c r="J666" s="1"/>
    </row>
    <row r="667" spans="1:10" x14ac:dyDescent="0.2">
      <c r="A667" s="1"/>
      <c r="B667" s="1"/>
      <c r="C667" s="1"/>
      <c r="H667" s="1"/>
      <c r="I667" s="1"/>
      <c r="J667" s="1"/>
    </row>
    <row r="668" spans="1:10" x14ac:dyDescent="0.2">
      <c r="A668" s="1"/>
      <c r="B668" s="1"/>
      <c r="C668" s="1"/>
      <c r="H668" s="1"/>
      <c r="I668" s="1"/>
      <c r="J668" s="1"/>
    </row>
    <row r="669" spans="1:10" x14ac:dyDescent="0.2">
      <c r="A669" s="1"/>
      <c r="B669" s="1"/>
      <c r="C669" s="1"/>
      <c r="H669" s="1"/>
      <c r="I669" s="1"/>
      <c r="J669" s="1"/>
    </row>
    <row r="670" spans="1:10" x14ac:dyDescent="0.2">
      <c r="A670" s="1"/>
      <c r="B670" s="1"/>
      <c r="C670" s="1"/>
      <c r="H670" s="1"/>
      <c r="I670" s="1"/>
      <c r="J670" s="1"/>
    </row>
    <row r="671" spans="1:10" x14ac:dyDescent="0.2">
      <c r="A671" s="1"/>
      <c r="B671" s="1"/>
      <c r="C671" s="1"/>
      <c r="H671" s="1"/>
      <c r="I671" s="1"/>
      <c r="J671" s="1"/>
    </row>
    <row r="672" spans="1:10" x14ac:dyDescent="0.2">
      <c r="A672" s="1"/>
      <c r="B672" s="1"/>
      <c r="C672" s="1"/>
      <c r="H672" s="1"/>
      <c r="I672" s="1"/>
      <c r="J672" s="1"/>
    </row>
    <row r="673" spans="1:10" x14ac:dyDescent="0.2">
      <c r="A673" s="1"/>
      <c r="B673" s="1"/>
      <c r="C673" s="1"/>
      <c r="H673" s="1"/>
      <c r="I673" s="1"/>
      <c r="J673" s="1"/>
    </row>
    <row r="674" spans="1:10" x14ac:dyDescent="0.2">
      <c r="A674" s="1"/>
      <c r="B674" s="1"/>
      <c r="C674" s="1"/>
      <c r="H674" s="1"/>
      <c r="I674" s="1"/>
      <c r="J674" s="1"/>
    </row>
    <row r="675" spans="1:10" x14ac:dyDescent="0.2">
      <c r="A675" s="1"/>
      <c r="B675" s="1"/>
      <c r="C675" s="1"/>
      <c r="H675" s="1"/>
      <c r="I675" s="1"/>
      <c r="J675" s="1"/>
    </row>
    <row r="676" spans="1:10" x14ac:dyDescent="0.2">
      <c r="A676" s="1"/>
      <c r="B676" s="1"/>
      <c r="C676" s="1"/>
      <c r="H676" s="1"/>
      <c r="I676" s="1"/>
      <c r="J676" s="1"/>
    </row>
    <row r="677" spans="1:10" x14ac:dyDescent="0.2">
      <c r="A677" s="1"/>
      <c r="B677" s="1"/>
      <c r="C677" s="1"/>
      <c r="H677" s="1"/>
      <c r="I677" s="1"/>
      <c r="J677" s="1"/>
    </row>
    <row r="678" spans="1:10" x14ac:dyDescent="0.2">
      <c r="A678" s="1"/>
      <c r="B678" s="1"/>
      <c r="C678" s="1"/>
      <c r="H678" s="1"/>
      <c r="I678" s="1"/>
      <c r="J678" s="1"/>
    </row>
    <row r="679" spans="1:10" x14ac:dyDescent="0.2">
      <c r="A679" s="1"/>
      <c r="B679" s="1"/>
      <c r="C679" s="1"/>
      <c r="H679" s="1"/>
      <c r="I679" s="1"/>
      <c r="J679" s="1"/>
    </row>
    <row r="680" spans="1:10" x14ac:dyDescent="0.2">
      <c r="A680" s="1"/>
      <c r="B680" s="1"/>
      <c r="C680" s="1"/>
      <c r="H680" s="1"/>
      <c r="I680" s="1"/>
      <c r="J680" s="1"/>
    </row>
    <row r="681" spans="1:10" x14ac:dyDescent="0.2">
      <c r="A681" s="1"/>
      <c r="B681" s="1"/>
      <c r="C681" s="1"/>
      <c r="H681" s="1"/>
      <c r="I681" s="1"/>
      <c r="J681" s="1"/>
    </row>
    <row r="682" spans="1:10" x14ac:dyDescent="0.2">
      <c r="A682" s="1"/>
      <c r="B682" s="1"/>
      <c r="C682" s="1"/>
      <c r="H682" s="1"/>
      <c r="I682" s="1"/>
      <c r="J682" s="1"/>
    </row>
    <row r="683" spans="1:10" x14ac:dyDescent="0.2">
      <c r="A683" s="1"/>
      <c r="B683" s="1"/>
      <c r="C683" s="1"/>
      <c r="H683" s="1"/>
      <c r="I683" s="1"/>
      <c r="J683" s="1"/>
    </row>
    <row r="684" spans="1:10" x14ac:dyDescent="0.2">
      <c r="A684" s="1"/>
      <c r="B684" s="1"/>
      <c r="C684" s="1"/>
      <c r="H684" s="1"/>
      <c r="I684" s="1"/>
      <c r="J684" s="1"/>
    </row>
    <row r="685" spans="1:10" x14ac:dyDescent="0.2">
      <c r="A685" s="1"/>
      <c r="B685" s="1"/>
      <c r="C685" s="1"/>
      <c r="H685" s="1"/>
      <c r="I685" s="1"/>
      <c r="J685" s="1"/>
    </row>
    <row r="686" spans="1:10" x14ac:dyDescent="0.2">
      <c r="A686" s="1"/>
      <c r="B686" s="1"/>
      <c r="C686" s="1"/>
      <c r="H686" s="1"/>
      <c r="I686" s="1"/>
      <c r="J686" s="1"/>
    </row>
    <row r="687" spans="1:10" x14ac:dyDescent="0.2">
      <c r="A687" s="1"/>
      <c r="B687" s="1"/>
      <c r="C687" s="1"/>
      <c r="H687" s="1"/>
      <c r="I687" s="1"/>
      <c r="J687" s="1"/>
    </row>
    <row r="688" spans="1:10" x14ac:dyDescent="0.2">
      <c r="A688" s="1"/>
      <c r="B688" s="1"/>
      <c r="C688" s="1"/>
      <c r="H688" s="1"/>
      <c r="I688" s="1"/>
      <c r="J688" s="1"/>
    </row>
    <row r="689" spans="1:10" x14ac:dyDescent="0.2">
      <c r="A689" s="1"/>
      <c r="B689" s="1"/>
      <c r="C689" s="1"/>
      <c r="H689" s="1"/>
      <c r="I689" s="1"/>
      <c r="J689" s="1"/>
    </row>
    <row r="690" spans="1:10" x14ac:dyDescent="0.2">
      <c r="A690" s="1"/>
      <c r="B690" s="1"/>
      <c r="C690" s="1"/>
      <c r="H690" s="1"/>
      <c r="I690" s="1"/>
      <c r="J690" s="1"/>
    </row>
    <row r="691" spans="1:10" x14ac:dyDescent="0.2">
      <c r="A691" s="1"/>
      <c r="B691" s="1"/>
      <c r="C691" s="1"/>
      <c r="H691" s="1"/>
      <c r="I691" s="1"/>
      <c r="J691" s="1"/>
    </row>
    <row r="692" spans="1:10" x14ac:dyDescent="0.2">
      <c r="A692" s="1"/>
      <c r="B692" s="1"/>
      <c r="C692" s="1"/>
      <c r="H692" s="1"/>
      <c r="I692" s="1"/>
      <c r="J692" s="1"/>
    </row>
    <row r="693" spans="1:10" x14ac:dyDescent="0.2">
      <c r="A693" s="1"/>
      <c r="B693" s="1"/>
      <c r="C693" s="1"/>
      <c r="H693" s="1"/>
      <c r="I693" s="1"/>
      <c r="J693" s="1"/>
    </row>
    <row r="694" spans="1:10" x14ac:dyDescent="0.2">
      <c r="A694" s="1"/>
      <c r="B694" s="1"/>
      <c r="C694" s="1"/>
      <c r="H694" s="1"/>
      <c r="I694" s="1"/>
      <c r="J694" s="1"/>
    </row>
    <row r="695" spans="1:10" x14ac:dyDescent="0.2">
      <c r="A695" s="1"/>
      <c r="B695" s="1"/>
      <c r="C695" s="1"/>
      <c r="H695" s="1"/>
      <c r="I695" s="1"/>
      <c r="J695" s="1"/>
    </row>
    <row r="696" spans="1:10" x14ac:dyDescent="0.2">
      <c r="A696" s="1"/>
      <c r="B696" s="1"/>
      <c r="C696" s="1"/>
      <c r="H696" s="1"/>
      <c r="I696" s="1"/>
      <c r="J696" s="1"/>
    </row>
    <row r="697" spans="1:10" x14ac:dyDescent="0.2">
      <c r="A697" s="1"/>
      <c r="B697" s="1"/>
      <c r="C697" s="1"/>
      <c r="H697" s="1"/>
      <c r="I697" s="1"/>
      <c r="J697" s="1"/>
    </row>
    <row r="698" spans="1:10" x14ac:dyDescent="0.2">
      <c r="A698" s="1"/>
      <c r="B698" s="1"/>
      <c r="C698" s="1"/>
      <c r="H698" s="1"/>
      <c r="I698" s="1"/>
      <c r="J698" s="1"/>
    </row>
    <row r="699" spans="1:10" x14ac:dyDescent="0.2">
      <c r="A699" s="1"/>
      <c r="B699" s="1"/>
      <c r="C699" s="1"/>
      <c r="H699" s="1"/>
      <c r="I699" s="1"/>
      <c r="J699" s="1"/>
    </row>
    <row r="700" spans="1:10" x14ac:dyDescent="0.2">
      <c r="A700" s="1"/>
      <c r="B700" s="1"/>
      <c r="C700" s="1"/>
      <c r="H700" s="1"/>
      <c r="I700" s="1"/>
      <c r="J700" s="1"/>
    </row>
    <row r="701" spans="1:10" x14ac:dyDescent="0.2">
      <c r="A701" s="1"/>
      <c r="B701" s="1"/>
      <c r="C701" s="1"/>
      <c r="H701" s="1"/>
      <c r="I701" s="1"/>
      <c r="J701" s="1"/>
    </row>
    <row r="702" spans="1:10" x14ac:dyDescent="0.2">
      <c r="A702" s="1"/>
      <c r="B702" s="1"/>
      <c r="C702" s="1"/>
      <c r="H702" s="1"/>
      <c r="I702" s="1"/>
      <c r="J702" s="1"/>
    </row>
    <row r="703" spans="1:10" x14ac:dyDescent="0.2">
      <c r="A703" s="1"/>
      <c r="B703" s="1"/>
      <c r="C703" s="1"/>
      <c r="H703" s="1"/>
      <c r="I703" s="1"/>
      <c r="J703" s="1"/>
    </row>
    <row r="704" spans="1:10" x14ac:dyDescent="0.2">
      <c r="A704" s="1"/>
      <c r="B704" s="1"/>
      <c r="C704" s="1"/>
      <c r="H704" s="1"/>
      <c r="I704" s="1"/>
      <c r="J704" s="1"/>
    </row>
    <row r="705" spans="1:10" x14ac:dyDescent="0.2">
      <c r="A705" s="1"/>
      <c r="B705" s="1"/>
      <c r="C705" s="1"/>
      <c r="H705" s="1"/>
      <c r="I705" s="1"/>
      <c r="J705" s="1"/>
    </row>
    <row r="706" spans="1:10" x14ac:dyDescent="0.2">
      <c r="A706" s="1"/>
      <c r="B706" s="1"/>
      <c r="C706" s="1"/>
      <c r="H706" s="1"/>
      <c r="I706" s="1"/>
      <c r="J706" s="1"/>
    </row>
    <row r="707" spans="1:10" x14ac:dyDescent="0.2">
      <c r="A707" s="1"/>
      <c r="B707" s="1"/>
      <c r="C707" s="1"/>
      <c r="H707" s="1"/>
      <c r="I707" s="1"/>
      <c r="J707" s="1"/>
    </row>
    <row r="708" spans="1:10" x14ac:dyDescent="0.2">
      <c r="A708" s="1"/>
      <c r="B708" s="1"/>
      <c r="C708" s="1"/>
      <c r="H708" s="1"/>
      <c r="I708" s="1"/>
      <c r="J708" s="1"/>
    </row>
    <row r="709" spans="1:10" x14ac:dyDescent="0.2">
      <c r="A709" s="1"/>
      <c r="B709" s="1"/>
      <c r="C709" s="1"/>
      <c r="H709" s="1"/>
      <c r="I709" s="1"/>
      <c r="J709" s="1"/>
    </row>
    <row r="710" spans="1:10" x14ac:dyDescent="0.2">
      <c r="A710" s="1"/>
      <c r="B710" s="1"/>
      <c r="C710" s="1"/>
      <c r="H710" s="1"/>
      <c r="I710" s="1"/>
      <c r="J710" s="1"/>
    </row>
    <row r="711" spans="1:10" x14ac:dyDescent="0.2">
      <c r="A711" s="1"/>
      <c r="B711" s="1"/>
      <c r="C711" s="1"/>
      <c r="H711" s="1"/>
      <c r="I711" s="1"/>
      <c r="J711" s="1"/>
    </row>
    <row r="712" spans="1:10" x14ac:dyDescent="0.2">
      <c r="A712" s="1"/>
      <c r="B712" s="1"/>
      <c r="C712" s="1"/>
      <c r="H712" s="1"/>
      <c r="I712" s="1"/>
      <c r="J712" s="1"/>
    </row>
    <row r="713" spans="1:10" x14ac:dyDescent="0.2">
      <c r="A713" s="1"/>
      <c r="B713" s="1"/>
      <c r="C713" s="1"/>
      <c r="H713" s="1"/>
      <c r="I713" s="1"/>
      <c r="J713" s="1"/>
    </row>
    <row r="714" spans="1:10" x14ac:dyDescent="0.2">
      <c r="A714" s="1"/>
      <c r="B714" s="1"/>
      <c r="C714" s="1"/>
      <c r="H714" s="1"/>
      <c r="I714" s="1"/>
      <c r="J714" s="1"/>
    </row>
    <row r="715" spans="1:10" x14ac:dyDescent="0.2">
      <c r="A715" s="1"/>
      <c r="B715" s="1"/>
      <c r="C715" s="1"/>
      <c r="H715" s="1"/>
      <c r="I715" s="1"/>
      <c r="J715" s="1"/>
    </row>
    <row r="716" spans="1:10" x14ac:dyDescent="0.2">
      <c r="A716" s="1"/>
      <c r="B716" s="1"/>
      <c r="C716" s="1"/>
      <c r="H716" s="1"/>
      <c r="I716" s="1"/>
      <c r="J716" s="1"/>
    </row>
    <row r="717" spans="1:10" x14ac:dyDescent="0.2">
      <c r="A717" s="1"/>
      <c r="B717" s="1"/>
      <c r="C717" s="1"/>
      <c r="H717" s="1"/>
      <c r="I717" s="1"/>
      <c r="J717" s="1"/>
    </row>
    <row r="718" spans="1:10" x14ac:dyDescent="0.2">
      <c r="A718" s="1"/>
      <c r="B718" s="1"/>
      <c r="C718" s="1"/>
      <c r="H718" s="1"/>
      <c r="I718" s="1"/>
      <c r="J718" s="1"/>
    </row>
    <row r="719" spans="1:10" x14ac:dyDescent="0.2">
      <c r="A719" s="1"/>
      <c r="B719" s="1"/>
      <c r="C719" s="1"/>
      <c r="H719" s="1"/>
      <c r="I719" s="1"/>
      <c r="J719" s="1"/>
    </row>
    <row r="720" spans="1:10" x14ac:dyDescent="0.2">
      <c r="A720" s="1"/>
      <c r="B720" s="1"/>
      <c r="C720" s="1"/>
      <c r="H720" s="1"/>
      <c r="I720" s="1"/>
      <c r="J720" s="1"/>
    </row>
    <row r="721" spans="1:10" x14ac:dyDescent="0.2">
      <c r="A721" s="1"/>
      <c r="B721" s="1"/>
      <c r="C721" s="1"/>
      <c r="H721" s="1"/>
      <c r="I721" s="1"/>
      <c r="J721" s="1"/>
    </row>
    <row r="722" spans="1:10" x14ac:dyDescent="0.2">
      <c r="A722" s="1"/>
      <c r="B722" s="1"/>
      <c r="C722" s="1"/>
      <c r="H722" s="1"/>
      <c r="I722" s="1"/>
      <c r="J722" s="1"/>
    </row>
    <row r="723" spans="1:10" x14ac:dyDescent="0.2">
      <c r="A723" s="1"/>
      <c r="B723" s="1"/>
      <c r="C723" s="1"/>
      <c r="H723" s="1"/>
      <c r="I723" s="1"/>
      <c r="J723" s="1"/>
    </row>
    <row r="724" spans="1:10" x14ac:dyDescent="0.2">
      <c r="A724" s="1"/>
      <c r="B724" s="1"/>
      <c r="C724" s="1"/>
      <c r="H724" s="1"/>
      <c r="I724" s="1"/>
      <c r="J724" s="1"/>
    </row>
    <row r="725" spans="1:10" x14ac:dyDescent="0.2">
      <c r="A725" s="1"/>
      <c r="B725" s="1"/>
      <c r="C725" s="1"/>
      <c r="H725" s="1"/>
      <c r="I725" s="1"/>
      <c r="J725" s="1"/>
    </row>
    <row r="726" spans="1:10" x14ac:dyDescent="0.2">
      <c r="A726" s="1"/>
      <c r="B726" s="1"/>
      <c r="C726" s="1"/>
      <c r="H726" s="1"/>
      <c r="I726" s="1"/>
      <c r="J726" s="1"/>
    </row>
    <row r="727" spans="1:10" x14ac:dyDescent="0.2">
      <c r="A727" s="1"/>
      <c r="B727" s="1"/>
      <c r="C727" s="1"/>
      <c r="H727" s="1"/>
      <c r="I727" s="1"/>
      <c r="J727" s="1"/>
    </row>
    <row r="728" spans="1:10" x14ac:dyDescent="0.2">
      <c r="A728" s="1"/>
      <c r="B728" s="1"/>
      <c r="C728" s="1"/>
      <c r="H728" s="1"/>
      <c r="I728" s="1"/>
      <c r="J728" s="1"/>
    </row>
    <row r="729" spans="1:10" x14ac:dyDescent="0.2">
      <c r="A729" s="1"/>
      <c r="B729" s="1"/>
      <c r="C729" s="1"/>
      <c r="H729" s="1"/>
      <c r="I729" s="1"/>
      <c r="J729" s="1"/>
    </row>
    <row r="730" spans="1:10" x14ac:dyDescent="0.2">
      <c r="A730" s="1"/>
      <c r="B730" s="1"/>
      <c r="C730" s="1"/>
      <c r="H730" s="1"/>
      <c r="I730" s="1"/>
      <c r="J730" s="1"/>
    </row>
    <row r="731" spans="1:10" x14ac:dyDescent="0.2">
      <c r="A731" s="1"/>
      <c r="B731" s="1"/>
      <c r="C731" s="1"/>
      <c r="H731" s="1"/>
      <c r="I731" s="1"/>
      <c r="J731" s="1"/>
    </row>
    <row r="732" spans="1:10" x14ac:dyDescent="0.2">
      <c r="A732" s="1"/>
      <c r="B732" s="1"/>
      <c r="C732" s="1"/>
      <c r="H732" s="1"/>
      <c r="I732" s="1"/>
      <c r="J732" s="1"/>
    </row>
    <row r="733" spans="1:10" x14ac:dyDescent="0.2">
      <c r="A733" s="1"/>
      <c r="B733" s="1"/>
      <c r="C733" s="1"/>
      <c r="H733" s="1"/>
      <c r="I733" s="1"/>
      <c r="J733" s="1"/>
    </row>
    <row r="734" spans="1:10" x14ac:dyDescent="0.2">
      <c r="A734" s="1"/>
      <c r="B734" s="1"/>
      <c r="C734" s="1"/>
      <c r="H734" s="1"/>
      <c r="I734" s="1"/>
      <c r="J734" s="1"/>
    </row>
    <row r="735" spans="1:10" x14ac:dyDescent="0.2">
      <c r="A735" s="1"/>
      <c r="B735" s="1"/>
      <c r="C735" s="1"/>
      <c r="H735" s="1"/>
      <c r="I735" s="1"/>
      <c r="J735" s="1"/>
    </row>
    <row r="736" spans="1:10" x14ac:dyDescent="0.2">
      <c r="A736" s="1"/>
      <c r="B736" s="1"/>
      <c r="C736" s="1"/>
      <c r="H736" s="1"/>
      <c r="I736" s="1"/>
      <c r="J736" s="1"/>
    </row>
    <row r="737" spans="1:10" x14ac:dyDescent="0.2">
      <c r="A737" s="1"/>
      <c r="B737" s="1"/>
      <c r="C737" s="1"/>
      <c r="H737" s="1"/>
      <c r="I737" s="1"/>
      <c r="J737" s="1"/>
    </row>
    <row r="738" spans="1:10" x14ac:dyDescent="0.2">
      <c r="A738" s="1"/>
      <c r="B738" s="1"/>
      <c r="C738" s="1"/>
      <c r="H738" s="1"/>
      <c r="I738" s="1"/>
      <c r="J738" s="1"/>
    </row>
    <row r="739" spans="1:10" x14ac:dyDescent="0.2">
      <c r="A739" s="1"/>
      <c r="B739" s="1"/>
      <c r="C739" s="1"/>
      <c r="H739" s="1"/>
      <c r="I739" s="1"/>
      <c r="J739" s="1"/>
    </row>
    <row r="740" spans="1:10" x14ac:dyDescent="0.2">
      <c r="A740" s="1"/>
      <c r="B740" s="1"/>
      <c r="C740" s="1"/>
      <c r="H740" s="1"/>
      <c r="I740" s="1"/>
      <c r="J740" s="1"/>
    </row>
    <row r="741" spans="1:10" x14ac:dyDescent="0.2">
      <c r="A741" s="1"/>
      <c r="B741" s="1"/>
      <c r="C741" s="1"/>
      <c r="H741" s="1"/>
      <c r="I741" s="1"/>
      <c r="J741" s="1"/>
    </row>
    <row r="742" spans="1:10" x14ac:dyDescent="0.2">
      <c r="A742" s="1"/>
      <c r="B742" s="1"/>
      <c r="C742" s="1"/>
      <c r="H742" s="1"/>
      <c r="I742" s="1"/>
      <c r="J742" s="1"/>
    </row>
    <row r="743" spans="1:10" x14ac:dyDescent="0.2">
      <c r="A743" s="1"/>
      <c r="B743" s="1"/>
      <c r="C743" s="1"/>
      <c r="H743" s="1"/>
      <c r="I743" s="1"/>
      <c r="J743" s="1"/>
    </row>
    <row r="744" spans="1:10" x14ac:dyDescent="0.2">
      <c r="A744" s="1"/>
      <c r="B744" s="1"/>
      <c r="C744" s="1"/>
      <c r="H744" s="1"/>
      <c r="I744" s="1"/>
      <c r="J744" s="1"/>
    </row>
    <row r="745" spans="1:10" x14ac:dyDescent="0.2">
      <c r="A745" s="1"/>
      <c r="B745" s="1"/>
      <c r="C745" s="1"/>
      <c r="H745" s="1"/>
      <c r="I745" s="1"/>
      <c r="J745" s="1"/>
    </row>
    <row r="746" spans="1:10" x14ac:dyDescent="0.2">
      <c r="A746" s="1"/>
      <c r="B746" s="1"/>
      <c r="C746" s="1"/>
      <c r="H746" s="1"/>
      <c r="I746" s="1"/>
      <c r="J746" s="1"/>
    </row>
    <row r="747" spans="1:10" x14ac:dyDescent="0.2">
      <c r="A747" s="1"/>
      <c r="B747" s="1"/>
      <c r="C747" s="1"/>
      <c r="H747" s="1"/>
      <c r="I747" s="1"/>
      <c r="J747" s="1"/>
    </row>
    <row r="748" spans="1:10" x14ac:dyDescent="0.2">
      <c r="A748" s="1"/>
      <c r="B748" s="1"/>
      <c r="C748" s="1"/>
      <c r="H748" s="1"/>
      <c r="I748" s="1"/>
      <c r="J748" s="1"/>
    </row>
    <row r="749" spans="1:10" x14ac:dyDescent="0.2">
      <c r="A749" s="1"/>
      <c r="B749" s="1"/>
      <c r="C749" s="1"/>
      <c r="H749" s="1"/>
      <c r="I749" s="1"/>
      <c r="J749" s="1"/>
    </row>
    <row r="750" spans="1:10" x14ac:dyDescent="0.2">
      <c r="A750" s="1"/>
      <c r="B750" s="1"/>
      <c r="C750" s="1"/>
      <c r="H750" s="1"/>
      <c r="I750" s="1"/>
      <c r="J750" s="1"/>
    </row>
    <row r="751" spans="1:10" x14ac:dyDescent="0.2">
      <c r="A751" s="1"/>
      <c r="B751" s="1"/>
      <c r="C751" s="1"/>
      <c r="H751" s="1"/>
      <c r="I751" s="1"/>
      <c r="J751" s="1"/>
    </row>
    <row r="752" spans="1:10" x14ac:dyDescent="0.2">
      <c r="A752" s="1"/>
      <c r="B752" s="1"/>
      <c r="C752" s="1"/>
      <c r="H752" s="1"/>
      <c r="I752" s="1"/>
      <c r="J752" s="1"/>
    </row>
    <row r="753" spans="1:10" x14ac:dyDescent="0.2">
      <c r="A753" s="1"/>
      <c r="B753" s="1"/>
      <c r="C753" s="1"/>
      <c r="H753" s="1"/>
      <c r="I753" s="1"/>
      <c r="J753" s="1"/>
    </row>
    <row r="754" spans="1:10" x14ac:dyDescent="0.2">
      <c r="A754" s="1"/>
      <c r="B754" s="1"/>
      <c r="C754" s="1"/>
      <c r="H754" s="1"/>
      <c r="I754" s="1"/>
      <c r="J754" s="1"/>
    </row>
    <row r="755" spans="1:10" x14ac:dyDescent="0.2">
      <c r="A755" s="1"/>
      <c r="B755" s="1"/>
      <c r="C755" s="1"/>
      <c r="H755" s="1"/>
      <c r="I755" s="1"/>
      <c r="J755" s="1"/>
    </row>
    <row r="756" spans="1:10" x14ac:dyDescent="0.2">
      <c r="A756" s="1"/>
      <c r="B756" s="1"/>
      <c r="C756" s="1"/>
      <c r="H756" s="1"/>
      <c r="I756" s="1"/>
      <c r="J756" s="1"/>
    </row>
    <row r="757" spans="1:10" x14ac:dyDescent="0.2">
      <c r="A757" s="1"/>
      <c r="B757" s="1"/>
      <c r="C757" s="1"/>
      <c r="H757" s="1"/>
      <c r="I757" s="1"/>
      <c r="J757" s="1"/>
    </row>
    <row r="758" spans="1:10" x14ac:dyDescent="0.2">
      <c r="A758" s="1"/>
      <c r="B758" s="1"/>
      <c r="C758" s="1"/>
      <c r="H758" s="1"/>
      <c r="I758" s="1"/>
      <c r="J758" s="1"/>
    </row>
    <row r="759" spans="1:10" x14ac:dyDescent="0.2">
      <c r="A759" s="1"/>
      <c r="B759" s="1"/>
      <c r="C759" s="1"/>
      <c r="H759" s="1"/>
      <c r="I759" s="1"/>
      <c r="J759" s="1"/>
    </row>
    <row r="760" spans="1:10" x14ac:dyDescent="0.2">
      <c r="A760" s="1"/>
      <c r="B760" s="1"/>
      <c r="C760" s="1"/>
      <c r="H760" s="1"/>
      <c r="I760" s="1"/>
      <c r="J760" s="1"/>
    </row>
    <row r="761" spans="1:10" x14ac:dyDescent="0.2">
      <c r="A761" s="1"/>
      <c r="B761" s="1"/>
      <c r="C761" s="1"/>
      <c r="H761" s="1"/>
      <c r="I761" s="1"/>
      <c r="J761" s="1"/>
    </row>
    <row r="762" spans="1:10" x14ac:dyDescent="0.2">
      <c r="A762" s="1"/>
      <c r="B762" s="1"/>
      <c r="C762" s="1"/>
      <c r="H762" s="1"/>
      <c r="I762" s="1"/>
      <c r="J762" s="1"/>
    </row>
    <row r="763" spans="1:10" x14ac:dyDescent="0.2">
      <c r="A763" s="1"/>
      <c r="B763" s="1"/>
      <c r="C763" s="1"/>
      <c r="H763" s="1"/>
      <c r="I763" s="1"/>
      <c r="J763" s="1"/>
    </row>
    <row r="764" spans="1:10" x14ac:dyDescent="0.2">
      <c r="A764" s="1"/>
      <c r="B764" s="1"/>
      <c r="C764" s="1"/>
      <c r="H764" s="1"/>
      <c r="I764" s="1"/>
      <c r="J764" s="1"/>
    </row>
    <row r="765" spans="1:10" x14ac:dyDescent="0.2">
      <c r="A765" s="1"/>
      <c r="B765" s="1"/>
      <c r="C765" s="1"/>
      <c r="H765" s="1"/>
      <c r="I765" s="1"/>
      <c r="J765" s="1"/>
    </row>
    <row r="766" spans="1:10" x14ac:dyDescent="0.2">
      <c r="A766" s="1"/>
      <c r="B766" s="1"/>
      <c r="C766" s="1"/>
      <c r="H766" s="1"/>
      <c r="I766" s="1"/>
      <c r="J766" s="1"/>
    </row>
    <row r="767" spans="1:10" x14ac:dyDescent="0.2">
      <c r="A767" s="1"/>
      <c r="B767" s="1"/>
      <c r="C767" s="1"/>
      <c r="H767" s="1"/>
      <c r="I767" s="1"/>
      <c r="J767" s="1"/>
    </row>
    <row r="768" spans="1:10" x14ac:dyDescent="0.2">
      <c r="A768" s="1"/>
      <c r="B768" s="1"/>
      <c r="C768" s="1"/>
      <c r="H768" s="1"/>
      <c r="I768" s="1"/>
      <c r="J768" s="1"/>
    </row>
    <row r="769" spans="1:10" x14ac:dyDescent="0.2">
      <c r="A769" s="1"/>
      <c r="B769" s="1"/>
      <c r="C769" s="1"/>
      <c r="H769" s="1"/>
      <c r="I769" s="1"/>
      <c r="J769" s="1"/>
    </row>
    <row r="770" spans="1:10" x14ac:dyDescent="0.2">
      <c r="A770" s="1"/>
      <c r="B770" s="1"/>
      <c r="C770" s="1"/>
      <c r="H770" s="1"/>
      <c r="I770" s="1"/>
      <c r="J770" s="1"/>
    </row>
    <row r="771" spans="1:10" x14ac:dyDescent="0.2">
      <c r="A771" s="1"/>
      <c r="B771" s="1"/>
      <c r="C771" s="1"/>
      <c r="H771" s="1"/>
      <c r="I771" s="1"/>
      <c r="J771" s="1"/>
    </row>
    <row r="772" spans="1:10" x14ac:dyDescent="0.2">
      <c r="A772" s="1"/>
      <c r="B772" s="1"/>
      <c r="C772" s="1"/>
      <c r="H772" s="1"/>
      <c r="I772" s="1"/>
      <c r="J772" s="1"/>
    </row>
    <row r="773" spans="1:10" x14ac:dyDescent="0.2">
      <c r="A773" s="1"/>
      <c r="B773" s="1"/>
      <c r="C773" s="1"/>
      <c r="H773" s="1"/>
      <c r="I773" s="1"/>
      <c r="J773" s="1"/>
    </row>
    <row r="774" spans="1:10" x14ac:dyDescent="0.2">
      <c r="A774" s="1"/>
      <c r="B774" s="1"/>
      <c r="C774" s="1"/>
      <c r="H774" s="1"/>
      <c r="I774" s="1"/>
      <c r="J774" s="1"/>
    </row>
    <row r="775" spans="1:10" x14ac:dyDescent="0.2">
      <c r="A775" s="1"/>
      <c r="B775" s="1"/>
      <c r="C775" s="1"/>
      <c r="H775" s="1"/>
      <c r="I775" s="1"/>
      <c r="J775" s="1"/>
    </row>
    <row r="776" spans="1:10" x14ac:dyDescent="0.2">
      <c r="A776" s="1"/>
      <c r="B776" s="1"/>
      <c r="C776" s="1"/>
      <c r="H776" s="1"/>
      <c r="I776" s="1"/>
      <c r="J776" s="1"/>
    </row>
    <row r="777" spans="1:10" x14ac:dyDescent="0.2">
      <c r="A777" s="1"/>
      <c r="B777" s="1"/>
      <c r="C777" s="1"/>
      <c r="H777" s="1"/>
      <c r="I777" s="1"/>
      <c r="J777" s="1"/>
    </row>
    <row r="778" spans="1:10" x14ac:dyDescent="0.2">
      <c r="A778" s="1"/>
      <c r="B778" s="1"/>
      <c r="C778" s="1"/>
      <c r="H778" s="1"/>
      <c r="I778" s="1"/>
      <c r="J778" s="1"/>
    </row>
    <row r="779" spans="1:10" x14ac:dyDescent="0.2">
      <c r="A779" s="1"/>
      <c r="B779" s="1"/>
      <c r="C779" s="1"/>
      <c r="H779" s="1"/>
      <c r="I779" s="1"/>
      <c r="J779" s="1"/>
    </row>
    <row r="780" spans="1:10" x14ac:dyDescent="0.2">
      <c r="A780" s="1"/>
      <c r="B780" s="1"/>
      <c r="C780" s="1"/>
      <c r="H780" s="1"/>
      <c r="I780" s="1"/>
      <c r="J780" s="1"/>
    </row>
    <row r="781" spans="1:10" x14ac:dyDescent="0.2">
      <c r="A781" s="1"/>
      <c r="B781" s="1"/>
      <c r="C781" s="1"/>
      <c r="H781" s="1"/>
      <c r="I781" s="1"/>
      <c r="J781" s="1"/>
    </row>
    <row r="782" spans="1:10" x14ac:dyDescent="0.2">
      <c r="A782" s="1"/>
      <c r="B782" s="1"/>
      <c r="C782" s="1"/>
      <c r="H782" s="1"/>
      <c r="I782" s="1"/>
      <c r="J782" s="1"/>
    </row>
    <row r="783" spans="1:10" x14ac:dyDescent="0.2">
      <c r="A783" s="1"/>
      <c r="B783" s="1"/>
      <c r="C783" s="1"/>
      <c r="H783" s="1"/>
      <c r="I783" s="1"/>
      <c r="J783" s="1"/>
    </row>
    <row r="784" spans="1:10" x14ac:dyDescent="0.2">
      <c r="A784" s="1"/>
      <c r="B784" s="1"/>
      <c r="C784" s="1"/>
      <c r="H784" s="1"/>
      <c r="I784" s="1"/>
      <c r="J784" s="1"/>
    </row>
    <row r="785" spans="1:10" x14ac:dyDescent="0.2">
      <c r="A785" s="1"/>
      <c r="B785" s="1"/>
      <c r="C785" s="1"/>
      <c r="H785" s="1"/>
      <c r="I785" s="1"/>
      <c r="J785" s="1"/>
    </row>
    <row r="786" spans="1:10" x14ac:dyDescent="0.2">
      <c r="A786" s="1"/>
      <c r="B786" s="1"/>
      <c r="C786" s="1"/>
      <c r="H786" s="1"/>
      <c r="I786" s="1"/>
      <c r="J786" s="1"/>
    </row>
    <row r="787" spans="1:10" x14ac:dyDescent="0.2">
      <c r="A787" s="1"/>
      <c r="B787" s="1"/>
      <c r="C787" s="1"/>
      <c r="H787" s="1"/>
      <c r="I787" s="1"/>
      <c r="J787" s="1"/>
    </row>
    <row r="788" spans="1:10" x14ac:dyDescent="0.2">
      <c r="A788" s="1"/>
      <c r="B788" s="1"/>
      <c r="C788" s="1"/>
      <c r="H788" s="1"/>
      <c r="I788" s="1"/>
      <c r="J788" s="1"/>
    </row>
    <row r="789" spans="1:10" x14ac:dyDescent="0.2">
      <c r="A789" s="1"/>
      <c r="B789" s="1"/>
      <c r="C789" s="1"/>
      <c r="H789" s="1"/>
      <c r="I789" s="1"/>
      <c r="J789" s="1"/>
    </row>
    <row r="790" spans="1:10" x14ac:dyDescent="0.2">
      <c r="A790" s="1"/>
      <c r="B790" s="1"/>
      <c r="C790" s="1"/>
      <c r="H790" s="1"/>
      <c r="I790" s="1"/>
      <c r="J790" s="1"/>
    </row>
    <row r="791" spans="1:10" x14ac:dyDescent="0.2">
      <c r="A791" s="1"/>
      <c r="B791" s="1"/>
      <c r="C791" s="1"/>
      <c r="H791" s="1"/>
      <c r="I791" s="1"/>
      <c r="J791" s="1"/>
    </row>
    <row r="792" spans="1:10" x14ac:dyDescent="0.2">
      <c r="A792" s="1"/>
      <c r="B792" s="1"/>
      <c r="C792" s="1"/>
      <c r="H792" s="1"/>
      <c r="I792" s="1"/>
      <c r="J792" s="1"/>
    </row>
    <row r="793" spans="1:10" x14ac:dyDescent="0.2">
      <c r="A793" s="1"/>
      <c r="B793" s="1"/>
      <c r="C793" s="1"/>
      <c r="H793" s="1"/>
      <c r="I793" s="1"/>
      <c r="J793" s="1"/>
    </row>
    <row r="794" spans="1:10" x14ac:dyDescent="0.2">
      <c r="A794" s="1"/>
      <c r="B794" s="1"/>
      <c r="C794" s="1"/>
      <c r="H794" s="1"/>
      <c r="I794" s="1"/>
      <c r="J794" s="1"/>
    </row>
    <row r="795" spans="1:10" x14ac:dyDescent="0.2">
      <c r="A795" s="1"/>
      <c r="B795" s="1"/>
      <c r="C795" s="1"/>
      <c r="H795" s="1"/>
      <c r="I795" s="1"/>
      <c r="J795" s="1"/>
    </row>
    <row r="796" spans="1:10" x14ac:dyDescent="0.2">
      <c r="A796" s="1"/>
      <c r="B796" s="1"/>
      <c r="C796" s="1"/>
      <c r="H796" s="1"/>
      <c r="I796" s="1"/>
      <c r="J796" s="1"/>
    </row>
    <row r="797" spans="1:10" x14ac:dyDescent="0.2">
      <c r="A797" s="1"/>
      <c r="B797" s="1"/>
      <c r="C797" s="1"/>
      <c r="H797" s="1"/>
      <c r="I797" s="1"/>
      <c r="J797" s="1"/>
    </row>
    <row r="798" spans="1:10" x14ac:dyDescent="0.2">
      <c r="A798" s="1"/>
      <c r="B798" s="1"/>
      <c r="C798" s="1"/>
      <c r="H798" s="1"/>
      <c r="I798" s="1"/>
      <c r="J798" s="1"/>
    </row>
    <row r="799" spans="1:10" x14ac:dyDescent="0.2">
      <c r="A799" s="1"/>
      <c r="B799" s="1"/>
      <c r="C799" s="1"/>
      <c r="H799" s="1"/>
      <c r="I799" s="1"/>
      <c r="J799" s="1"/>
    </row>
    <row r="800" spans="1:10" x14ac:dyDescent="0.2">
      <c r="A800" s="1"/>
      <c r="B800" s="1"/>
      <c r="C800" s="1"/>
      <c r="H800" s="1"/>
      <c r="I800" s="1"/>
      <c r="J800" s="1"/>
    </row>
    <row r="801" spans="1:10" x14ac:dyDescent="0.2">
      <c r="A801" s="1"/>
      <c r="B801" s="1"/>
      <c r="C801" s="1"/>
      <c r="H801" s="1"/>
      <c r="I801" s="1"/>
      <c r="J801" s="1"/>
    </row>
    <row r="802" spans="1:10" x14ac:dyDescent="0.2">
      <c r="A802" s="1"/>
      <c r="B802" s="1"/>
      <c r="C802" s="1"/>
      <c r="H802" s="1"/>
      <c r="I802" s="1"/>
      <c r="J802" s="1"/>
    </row>
    <row r="803" spans="1:10" x14ac:dyDescent="0.2">
      <c r="A803" s="1"/>
      <c r="B803" s="1"/>
      <c r="C803" s="1"/>
      <c r="H803" s="1"/>
      <c r="I803" s="1"/>
      <c r="J803" s="1"/>
    </row>
    <row r="804" spans="1:10" x14ac:dyDescent="0.2">
      <c r="A804" s="1"/>
      <c r="B804" s="1"/>
      <c r="C804" s="1"/>
      <c r="H804" s="1"/>
      <c r="I804" s="1"/>
      <c r="J804" s="1"/>
    </row>
    <row r="805" spans="1:10" x14ac:dyDescent="0.2">
      <c r="A805" s="1"/>
      <c r="B805" s="1"/>
      <c r="C805" s="1"/>
      <c r="H805" s="1"/>
      <c r="I805" s="1"/>
      <c r="J805" s="1"/>
    </row>
    <row r="806" spans="1:10" x14ac:dyDescent="0.2">
      <c r="A806" s="1"/>
      <c r="B806" s="1"/>
      <c r="C806" s="1"/>
      <c r="H806" s="1"/>
      <c r="I806" s="1"/>
      <c r="J806" s="1"/>
    </row>
    <row r="807" spans="1:10" x14ac:dyDescent="0.2">
      <c r="A807" s="1"/>
      <c r="B807" s="1"/>
      <c r="C807" s="1"/>
      <c r="H807" s="1"/>
      <c r="I807" s="1"/>
      <c r="J807" s="1"/>
    </row>
    <row r="808" spans="1:10" x14ac:dyDescent="0.2">
      <c r="A808" s="1"/>
      <c r="B808" s="1"/>
      <c r="C808" s="1"/>
      <c r="H808" s="1"/>
      <c r="I808" s="1"/>
      <c r="J808" s="1"/>
    </row>
    <row r="809" spans="1:10" x14ac:dyDescent="0.2">
      <c r="A809" s="1"/>
      <c r="B809" s="1"/>
      <c r="C809" s="1"/>
      <c r="H809" s="1"/>
      <c r="I809" s="1"/>
      <c r="J809" s="1"/>
    </row>
    <row r="810" spans="1:10" x14ac:dyDescent="0.2">
      <c r="A810" s="1"/>
      <c r="B810" s="1"/>
      <c r="C810" s="1"/>
      <c r="H810" s="1"/>
      <c r="I810" s="1"/>
      <c r="J810" s="1"/>
    </row>
    <row r="811" spans="1:10" x14ac:dyDescent="0.2">
      <c r="A811" s="1"/>
      <c r="B811" s="1"/>
      <c r="C811" s="1"/>
      <c r="H811" s="1"/>
      <c r="I811" s="1"/>
      <c r="J811" s="1"/>
    </row>
    <row r="812" spans="1:10" x14ac:dyDescent="0.2">
      <c r="A812" s="1"/>
      <c r="B812" s="1"/>
      <c r="C812" s="1"/>
      <c r="H812" s="1"/>
      <c r="I812" s="1"/>
      <c r="J812" s="1"/>
    </row>
    <row r="813" spans="1:10" x14ac:dyDescent="0.2">
      <c r="A813" s="1"/>
      <c r="B813" s="1"/>
      <c r="C813" s="1"/>
      <c r="H813" s="1"/>
      <c r="I813" s="1"/>
      <c r="J813" s="1"/>
    </row>
    <row r="814" spans="1:10" x14ac:dyDescent="0.2">
      <c r="A814" s="1"/>
      <c r="B814" s="1"/>
      <c r="C814" s="1"/>
      <c r="H814" s="1"/>
      <c r="I814" s="1"/>
      <c r="J814" s="1"/>
    </row>
    <row r="815" spans="1:10" x14ac:dyDescent="0.2">
      <c r="A815" s="1"/>
      <c r="B815" s="1"/>
      <c r="C815" s="1"/>
      <c r="H815" s="1"/>
      <c r="I815" s="1"/>
      <c r="J815" s="1"/>
    </row>
    <row r="816" spans="1:10" x14ac:dyDescent="0.2">
      <c r="A816" s="1"/>
      <c r="B816" s="1"/>
      <c r="C816" s="1"/>
      <c r="H816" s="1"/>
      <c r="I816" s="1"/>
      <c r="J816" s="1"/>
    </row>
    <row r="817" spans="1:10" x14ac:dyDescent="0.2">
      <c r="A817" s="1"/>
      <c r="B817" s="1"/>
      <c r="C817" s="1"/>
      <c r="H817" s="1"/>
      <c r="I817" s="1"/>
      <c r="J817" s="1"/>
    </row>
    <row r="818" spans="1:10" x14ac:dyDescent="0.2">
      <c r="A818" s="1"/>
      <c r="B818" s="1"/>
      <c r="C818" s="1"/>
      <c r="H818" s="1"/>
      <c r="I818" s="1"/>
      <c r="J818" s="1"/>
    </row>
    <row r="819" spans="1:10" x14ac:dyDescent="0.2">
      <c r="A819" s="1"/>
      <c r="B819" s="1"/>
      <c r="C819" s="1"/>
      <c r="H819" s="1"/>
      <c r="I819" s="1"/>
      <c r="J819" s="1"/>
    </row>
    <row r="820" spans="1:10" x14ac:dyDescent="0.2">
      <c r="A820" s="1"/>
      <c r="B820" s="1"/>
      <c r="C820" s="1"/>
      <c r="H820" s="1"/>
      <c r="I820" s="1"/>
      <c r="J820" s="1"/>
    </row>
    <row r="821" spans="1:10" x14ac:dyDescent="0.2">
      <c r="A821" s="1"/>
      <c r="B821" s="1"/>
      <c r="C821" s="1"/>
      <c r="H821" s="1"/>
      <c r="I821" s="1"/>
      <c r="J821" s="1"/>
    </row>
    <row r="822" spans="1:10" x14ac:dyDescent="0.2">
      <c r="A822" s="1"/>
      <c r="B822" s="1"/>
      <c r="C822" s="1"/>
      <c r="H822" s="1"/>
      <c r="I822" s="1"/>
      <c r="J822" s="1"/>
    </row>
    <row r="823" spans="1:10" x14ac:dyDescent="0.2">
      <c r="A823" s="1"/>
      <c r="B823" s="1"/>
      <c r="C823" s="1"/>
      <c r="H823" s="1"/>
      <c r="I823" s="1"/>
      <c r="J823" s="1"/>
    </row>
    <row r="824" spans="1:10" x14ac:dyDescent="0.2">
      <c r="A824" s="1"/>
      <c r="B824" s="1"/>
      <c r="C824" s="1"/>
      <c r="H824" s="1"/>
      <c r="I824" s="1"/>
      <c r="J824" s="1"/>
    </row>
    <row r="825" spans="1:10" x14ac:dyDescent="0.2">
      <c r="A825" s="1"/>
      <c r="B825" s="1"/>
      <c r="C825" s="1"/>
      <c r="H825" s="1"/>
      <c r="I825" s="1"/>
      <c r="J825" s="1"/>
    </row>
    <row r="826" spans="1:10" x14ac:dyDescent="0.2">
      <c r="A826" s="1"/>
      <c r="B826" s="1"/>
      <c r="C826" s="1"/>
      <c r="H826" s="1"/>
      <c r="I826" s="1"/>
      <c r="J826" s="1"/>
    </row>
    <row r="827" spans="1:10" x14ac:dyDescent="0.2">
      <c r="A827" s="1"/>
      <c r="B827" s="1"/>
      <c r="C827" s="1"/>
      <c r="H827" s="1"/>
      <c r="I827" s="1"/>
      <c r="J827" s="1"/>
    </row>
    <row r="828" spans="1:10" x14ac:dyDescent="0.2">
      <c r="A828" s="1"/>
      <c r="B828" s="1"/>
      <c r="C828" s="1"/>
      <c r="H828" s="1"/>
      <c r="I828" s="1"/>
      <c r="J828" s="1"/>
    </row>
    <row r="829" spans="1:10" x14ac:dyDescent="0.2">
      <c r="A829" s="1"/>
      <c r="B829" s="1"/>
      <c r="C829" s="1"/>
      <c r="H829" s="1"/>
      <c r="I829" s="1"/>
      <c r="J829" s="1"/>
    </row>
    <row r="830" spans="1:10" x14ac:dyDescent="0.2">
      <c r="A830" s="1"/>
      <c r="B830" s="1"/>
      <c r="C830" s="1"/>
      <c r="H830" s="1"/>
      <c r="I830" s="1"/>
      <c r="J830" s="1"/>
    </row>
    <row r="831" spans="1:10" x14ac:dyDescent="0.2">
      <c r="A831" s="1"/>
      <c r="B831" s="1"/>
      <c r="C831" s="1"/>
      <c r="H831" s="1"/>
      <c r="I831" s="1"/>
      <c r="J831" s="1"/>
    </row>
    <row r="832" spans="1:10" x14ac:dyDescent="0.2">
      <c r="A832" s="1"/>
      <c r="B832" s="1"/>
      <c r="C832" s="1"/>
      <c r="H832" s="1"/>
      <c r="I832" s="1"/>
      <c r="J832" s="1"/>
    </row>
    <row r="833" spans="1:10" x14ac:dyDescent="0.2">
      <c r="A833" s="1"/>
      <c r="B833" s="1"/>
      <c r="C833" s="1"/>
      <c r="H833" s="1"/>
      <c r="I833" s="1"/>
      <c r="J833" s="1"/>
    </row>
    <row r="834" spans="1:10" x14ac:dyDescent="0.2">
      <c r="A834" s="1"/>
      <c r="B834" s="1"/>
      <c r="C834" s="1"/>
      <c r="H834" s="1"/>
      <c r="I834" s="1"/>
      <c r="J834" s="1"/>
    </row>
    <row r="835" spans="1:10" x14ac:dyDescent="0.2">
      <c r="A835" s="1"/>
      <c r="B835" s="1"/>
      <c r="C835" s="1"/>
      <c r="H835" s="1"/>
      <c r="I835" s="1"/>
      <c r="J835" s="1"/>
    </row>
    <row r="836" spans="1:10" x14ac:dyDescent="0.2">
      <c r="A836" s="1"/>
      <c r="B836" s="1"/>
      <c r="C836" s="1"/>
      <c r="H836" s="1"/>
      <c r="I836" s="1"/>
      <c r="J836" s="1"/>
    </row>
    <row r="837" spans="1:10" x14ac:dyDescent="0.2">
      <c r="A837" s="1"/>
      <c r="B837" s="1"/>
      <c r="C837" s="1"/>
      <c r="H837" s="1"/>
      <c r="I837" s="1"/>
      <c r="J837" s="1"/>
    </row>
    <row r="838" spans="1:10" x14ac:dyDescent="0.2">
      <c r="A838" s="1"/>
      <c r="B838" s="1"/>
      <c r="C838" s="1"/>
      <c r="H838" s="1"/>
      <c r="I838" s="1"/>
      <c r="J838" s="1"/>
    </row>
    <row r="839" spans="1:10" x14ac:dyDescent="0.2">
      <c r="A839" s="1"/>
      <c r="B839" s="1"/>
      <c r="C839" s="1"/>
      <c r="H839" s="1"/>
      <c r="I839" s="1"/>
      <c r="J839" s="1"/>
    </row>
    <row r="840" spans="1:10" x14ac:dyDescent="0.2">
      <c r="A840" s="1"/>
      <c r="B840" s="1"/>
      <c r="C840" s="1"/>
      <c r="H840" s="1"/>
      <c r="I840" s="1"/>
      <c r="J840" s="1"/>
    </row>
    <row r="841" spans="1:10" x14ac:dyDescent="0.2">
      <c r="A841" s="1"/>
      <c r="B841" s="1"/>
      <c r="C841" s="1"/>
      <c r="H841" s="1"/>
      <c r="I841" s="1"/>
      <c r="J841" s="1"/>
    </row>
    <row r="842" spans="1:10" x14ac:dyDescent="0.2">
      <c r="A842" s="1"/>
      <c r="B842" s="1"/>
      <c r="C842" s="1"/>
      <c r="H842" s="1"/>
      <c r="I842" s="1"/>
      <c r="J842" s="1"/>
    </row>
    <row r="843" spans="1:10" x14ac:dyDescent="0.2">
      <c r="A843" s="1"/>
      <c r="B843" s="1"/>
      <c r="C843" s="1"/>
      <c r="H843" s="1"/>
      <c r="I843" s="1"/>
      <c r="J843" s="1"/>
    </row>
    <row r="844" spans="1:10" x14ac:dyDescent="0.2">
      <c r="A844" s="1"/>
      <c r="B844" s="1"/>
      <c r="C844" s="1"/>
      <c r="H844" s="1"/>
      <c r="I844" s="1"/>
      <c r="J844" s="1"/>
    </row>
    <row r="845" spans="1:10" x14ac:dyDescent="0.2">
      <c r="A845" s="1"/>
      <c r="B845" s="1"/>
      <c r="C845" s="1"/>
      <c r="H845" s="1"/>
      <c r="I845" s="1"/>
      <c r="J845" s="1"/>
    </row>
    <row r="846" spans="1:10" x14ac:dyDescent="0.2">
      <c r="A846" s="1"/>
      <c r="B846" s="1"/>
      <c r="C846" s="1"/>
      <c r="H846" s="1"/>
      <c r="I846" s="1"/>
      <c r="J846" s="1"/>
    </row>
    <row r="847" spans="1:10" x14ac:dyDescent="0.2">
      <c r="A847" s="1"/>
      <c r="B847" s="1"/>
      <c r="C847" s="1"/>
      <c r="H847" s="1"/>
      <c r="I847" s="1"/>
      <c r="J847" s="1"/>
    </row>
    <row r="848" spans="1:10" x14ac:dyDescent="0.2">
      <c r="A848" s="1"/>
      <c r="B848" s="1"/>
      <c r="C848" s="1"/>
      <c r="H848" s="1"/>
      <c r="I848" s="1"/>
      <c r="J848" s="1"/>
    </row>
    <row r="849" spans="1:10" x14ac:dyDescent="0.2">
      <c r="A849" s="1"/>
      <c r="B849" s="1"/>
      <c r="C849" s="1"/>
      <c r="H849" s="1"/>
      <c r="I849" s="1"/>
      <c r="J849" s="1"/>
    </row>
    <row r="850" spans="1:10" x14ac:dyDescent="0.2">
      <c r="A850" s="1"/>
      <c r="B850" s="1"/>
      <c r="C850" s="1"/>
      <c r="H850" s="1"/>
      <c r="I850" s="1"/>
      <c r="J850" s="1"/>
    </row>
    <row r="851" spans="1:10" x14ac:dyDescent="0.2">
      <c r="A851" s="1"/>
      <c r="B851" s="1"/>
      <c r="C851" s="1"/>
      <c r="H851" s="1"/>
      <c r="I851" s="1"/>
      <c r="J851" s="1"/>
    </row>
    <row r="852" spans="1:10" x14ac:dyDescent="0.2">
      <c r="A852" s="1"/>
      <c r="B852" s="1"/>
      <c r="C852" s="1"/>
      <c r="H852" s="1"/>
      <c r="I852" s="1"/>
      <c r="J852" s="1"/>
    </row>
    <row r="853" spans="1:10" x14ac:dyDescent="0.2">
      <c r="A853" s="1"/>
      <c r="B853" s="1"/>
      <c r="C853" s="1"/>
      <c r="H853" s="1"/>
      <c r="I853" s="1"/>
      <c r="J853" s="1"/>
    </row>
    <row r="854" spans="1:10" x14ac:dyDescent="0.2">
      <c r="A854" s="1"/>
      <c r="B854" s="1"/>
      <c r="C854" s="1"/>
      <c r="H854" s="1"/>
      <c r="I854" s="1"/>
      <c r="J854" s="1"/>
    </row>
    <row r="855" spans="1:10" x14ac:dyDescent="0.2">
      <c r="A855" s="1"/>
      <c r="B855" s="1"/>
      <c r="C855" s="1"/>
      <c r="H855" s="1"/>
      <c r="I855" s="1"/>
      <c r="J855" s="1"/>
    </row>
    <row r="856" spans="1:10" x14ac:dyDescent="0.2">
      <c r="A856" s="1"/>
      <c r="B856" s="1"/>
      <c r="C856" s="1"/>
      <c r="H856" s="1"/>
      <c r="I856" s="1"/>
      <c r="J856" s="1"/>
    </row>
    <row r="857" spans="1:10" x14ac:dyDescent="0.2">
      <c r="A857" s="1"/>
      <c r="B857" s="1"/>
      <c r="C857" s="1"/>
      <c r="H857" s="1"/>
      <c r="I857" s="1"/>
      <c r="J857" s="1"/>
    </row>
    <row r="858" spans="1:10" x14ac:dyDescent="0.2">
      <c r="A858" s="1"/>
      <c r="B858" s="1"/>
      <c r="C858" s="1"/>
      <c r="H858" s="1"/>
      <c r="I858" s="1"/>
      <c r="J858" s="1"/>
    </row>
    <row r="859" spans="1:10" x14ac:dyDescent="0.2">
      <c r="A859" s="1"/>
      <c r="B859" s="1"/>
      <c r="C859" s="1"/>
      <c r="H859" s="1"/>
      <c r="I859" s="1"/>
      <c r="J859" s="1"/>
    </row>
    <row r="860" spans="1:10" x14ac:dyDescent="0.2">
      <c r="A860" s="1"/>
      <c r="B860" s="1"/>
      <c r="C860" s="1"/>
      <c r="H860" s="1"/>
      <c r="I860" s="1"/>
      <c r="J860" s="1"/>
    </row>
    <row r="861" spans="1:10" x14ac:dyDescent="0.2">
      <c r="A861" s="1"/>
      <c r="B861" s="1"/>
      <c r="C861" s="1"/>
      <c r="H861" s="1"/>
      <c r="I861" s="1"/>
      <c r="J861" s="1"/>
    </row>
    <row r="862" spans="1:10" x14ac:dyDescent="0.2">
      <c r="A862" s="1"/>
      <c r="B862" s="1"/>
      <c r="C862" s="1"/>
      <c r="H862" s="1"/>
      <c r="I862" s="1"/>
      <c r="J862" s="1"/>
    </row>
    <row r="863" spans="1:10" x14ac:dyDescent="0.2">
      <c r="A863" s="1"/>
      <c r="B863" s="1"/>
      <c r="C863" s="1"/>
      <c r="H863" s="1"/>
      <c r="I863" s="1"/>
      <c r="J863" s="1"/>
    </row>
    <row r="864" spans="1:10" x14ac:dyDescent="0.2">
      <c r="A864" s="1"/>
      <c r="B864" s="1"/>
      <c r="C864" s="1"/>
      <c r="H864" s="1"/>
      <c r="I864" s="1"/>
      <c r="J864" s="1"/>
    </row>
    <row r="865" spans="1:10" x14ac:dyDescent="0.2">
      <c r="A865" s="1"/>
      <c r="B865" s="1"/>
      <c r="C865" s="1"/>
      <c r="H865" s="1"/>
      <c r="I865" s="1"/>
      <c r="J865" s="1"/>
    </row>
    <row r="866" spans="1:10" x14ac:dyDescent="0.2">
      <c r="A866" s="1"/>
      <c r="B866" s="1"/>
      <c r="C866" s="1"/>
      <c r="H866" s="1"/>
      <c r="I866" s="1"/>
      <c r="J866" s="1"/>
    </row>
    <row r="867" spans="1:10" x14ac:dyDescent="0.2">
      <c r="A867" s="1"/>
      <c r="B867" s="1"/>
      <c r="C867" s="1"/>
      <c r="H867" s="1"/>
      <c r="I867" s="1"/>
      <c r="J867" s="1"/>
    </row>
    <row r="868" spans="1:10" x14ac:dyDescent="0.2">
      <c r="A868" s="1"/>
      <c r="B868" s="1"/>
      <c r="C868" s="1"/>
      <c r="H868" s="1"/>
      <c r="I868" s="1"/>
      <c r="J868" s="1"/>
    </row>
    <row r="869" spans="1:10" x14ac:dyDescent="0.2">
      <c r="A869" s="1"/>
      <c r="B869" s="1"/>
      <c r="C869" s="1"/>
      <c r="H869" s="1"/>
      <c r="I869" s="1"/>
      <c r="J869" s="1"/>
    </row>
    <row r="870" spans="1:10" x14ac:dyDescent="0.2">
      <c r="A870" s="1"/>
      <c r="B870" s="1"/>
      <c r="C870" s="1"/>
      <c r="H870" s="1"/>
      <c r="I870" s="1"/>
      <c r="J870" s="1"/>
    </row>
    <row r="871" spans="1:10" x14ac:dyDescent="0.2">
      <c r="A871" s="1"/>
      <c r="B871" s="1"/>
      <c r="C871" s="1"/>
      <c r="H871" s="1"/>
      <c r="I871" s="1"/>
      <c r="J871" s="1"/>
    </row>
    <row r="872" spans="1:10" x14ac:dyDescent="0.2">
      <c r="A872" s="1"/>
      <c r="B872" s="1"/>
      <c r="C872" s="1"/>
      <c r="H872" s="1"/>
      <c r="I872" s="1"/>
      <c r="J872" s="1"/>
    </row>
    <row r="873" spans="1:10" x14ac:dyDescent="0.2">
      <c r="A873" s="1"/>
      <c r="B873" s="1"/>
      <c r="C873" s="1"/>
      <c r="H873" s="1"/>
      <c r="I873" s="1"/>
      <c r="J873" s="1"/>
    </row>
    <row r="874" spans="1:10" x14ac:dyDescent="0.2">
      <c r="A874" s="1"/>
      <c r="B874" s="1"/>
      <c r="C874" s="1"/>
      <c r="H874" s="1"/>
      <c r="I874" s="1"/>
      <c r="J874" s="1"/>
    </row>
    <row r="875" spans="1:10" x14ac:dyDescent="0.2">
      <c r="A875" s="1"/>
      <c r="B875" s="1"/>
      <c r="C875" s="1"/>
      <c r="H875" s="1"/>
      <c r="I875" s="1"/>
      <c r="J875" s="1"/>
    </row>
    <row r="876" spans="1:10" x14ac:dyDescent="0.2">
      <c r="A876" s="1"/>
      <c r="B876" s="1"/>
      <c r="C876" s="1"/>
      <c r="H876" s="1"/>
      <c r="I876" s="1"/>
      <c r="J876" s="1"/>
    </row>
    <row r="877" spans="1:10" x14ac:dyDescent="0.2">
      <c r="A877" s="1"/>
      <c r="B877" s="1"/>
      <c r="C877" s="1"/>
      <c r="H877" s="1"/>
      <c r="I877" s="1"/>
      <c r="J877" s="1"/>
    </row>
    <row r="878" spans="1:10" x14ac:dyDescent="0.2">
      <c r="A878" s="1"/>
      <c r="B878" s="1"/>
      <c r="C878" s="1"/>
      <c r="H878" s="1"/>
      <c r="I878" s="1"/>
      <c r="J878" s="1"/>
    </row>
    <row r="879" spans="1:10" x14ac:dyDescent="0.2">
      <c r="A879" s="1"/>
      <c r="B879" s="1"/>
      <c r="C879" s="1"/>
      <c r="H879" s="1"/>
      <c r="I879" s="1"/>
      <c r="J879" s="1"/>
    </row>
    <row r="880" spans="1:10" x14ac:dyDescent="0.2">
      <c r="A880" s="1"/>
      <c r="B880" s="1"/>
      <c r="C880" s="1"/>
      <c r="H880" s="1"/>
      <c r="I880" s="1"/>
      <c r="J880" s="1"/>
    </row>
    <row r="881" spans="1:10" x14ac:dyDescent="0.2">
      <c r="A881" s="1"/>
      <c r="B881" s="1"/>
      <c r="C881" s="1"/>
      <c r="H881" s="1"/>
      <c r="I881" s="1"/>
      <c r="J881" s="1"/>
    </row>
    <row r="882" spans="1:10" x14ac:dyDescent="0.2">
      <c r="A882" s="1"/>
      <c r="B882" s="1"/>
      <c r="C882" s="1"/>
      <c r="H882" s="1"/>
      <c r="I882" s="1"/>
      <c r="J882" s="1"/>
    </row>
    <row r="883" spans="1:10" x14ac:dyDescent="0.2">
      <c r="A883" s="1"/>
      <c r="B883" s="1"/>
      <c r="C883" s="1"/>
      <c r="H883" s="1"/>
      <c r="I883" s="1"/>
      <c r="J883" s="1"/>
    </row>
    <row r="884" spans="1:10" x14ac:dyDescent="0.2">
      <c r="A884" s="1"/>
      <c r="B884" s="1"/>
      <c r="C884" s="1"/>
      <c r="H884" s="1"/>
      <c r="I884" s="1"/>
      <c r="J884" s="1"/>
    </row>
    <row r="885" spans="1:10" x14ac:dyDescent="0.2">
      <c r="A885" s="1"/>
      <c r="B885" s="1"/>
      <c r="C885" s="1"/>
      <c r="H885" s="1"/>
      <c r="I885" s="1"/>
      <c r="J885" s="1"/>
    </row>
    <row r="886" spans="1:10" x14ac:dyDescent="0.2">
      <c r="A886" s="1"/>
      <c r="B886" s="1"/>
      <c r="C886" s="1"/>
      <c r="H886" s="1"/>
      <c r="I886" s="1"/>
      <c r="J886" s="1"/>
    </row>
    <row r="887" spans="1:10" x14ac:dyDescent="0.2">
      <c r="A887" s="1"/>
      <c r="B887" s="1"/>
      <c r="C887" s="1"/>
      <c r="H887" s="1"/>
      <c r="I887" s="1"/>
      <c r="J887" s="1"/>
    </row>
    <row r="888" spans="1:10" x14ac:dyDescent="0.2">
      <c r="A888" s="1"/>
      <c r="B888" s="1"/>
      <c r="C888" s="1"/>
      <c r="H888" s="1"/>
      <c r="I888" s="1"/>
      <c r="J888" s="1"/>
    </row>
    <row r="889" spans="1:10" x14ac:dyDescent="0.2">
      <c r="A889" s="1"/>
      <c r="B889" s="1"/>
      <c r="C889" s="1"/>
      <c r="H889" s="1"/>
      <c r="I889" s="1"/>
      <c r="J889" s="1"/>
    </row>
    <row r="890" spans="1:10" x14ac:dyDescent="0.2">
      <c r="A890" s="1"/>
      <c r="B890" s="1"/>
      <c r="C890" s="1"/>
      <c r="H890" s="1"/>
      <c r="I890" s="1"/>
      <c r="J890" s="1"/>
    </row>
    <row r="891" spans="1:10" x14ac:dyDescent="0.2">
      <c r="A891" s="1"/>
      <c r="B891" s="1"/>
      <c r="C891" s="1"/>
      <c r="H891" s="1"/>
      <c r="I891" s="1"/>
      <c r="J891" s="1"/>
    </row>
    <row r="892" spans="1:10" x14ac:dyDescent="0.2">
      <c r="A892" s="1"/>
      <c r="B892" s="1"/>
      <c r="C892" s="1"/>
      <c r="H892" s="1"/>
      <c r="I892" s="1"/>
      <c r="J892" s="1"/>
    </row>
    <row r="893" spans="1:10" x14ac:dyDescent="0.2">
      <c r="A893" s="1"/>
      <c r="B893" s="1"/>
      <c r="C893" s="1"/>
      <c r="H893" s="1"/>
      <c r="I893" s="1"/>
      <c r="J893" s="1"/>
    </row>
    <row r="894" spans="1:10" x14ac:dyDescent="0.2">
      <c r="A894" s="1"/>
      <c r="B894" s="1"/>
      <c r="C894" s="1"/>
      <c r="H894" s="1"/>
      <c r="I894" s="1"/>
      <c r="J894" s="1"/>
    </row>
    <row r="895" spans="1:10" x14ac:dyDescent="0.2">
      <c r="A895" s="1"/>
      <c r="B895" s="1"/>
      <c r="C895" s="1"/>
      <c r="H895" s="1"/>
      <c r="I895" s="1"/>
      <c r="J895" s="1"/>
    </row>
    <row r="896" spans="1:10" x14ac:dyDescent="0.2">
      <c r="A896" s="1"/>
      <c r="B896" s="1"/>
      <c r="C896" s="1"/>
      <c r="H896" s="1"/>
      <c r="I896" s="1"/>
      <c r="J896" s="1"/>
    </row>
    <row r="897" spans="1:10" x14ac:dyDescent="0.2">
      <c r="A897" s="1"/>
      <c r="B897" s="1"/>
      <c r="C897" s="1"/>
      <c r="H897" s="1"/>
      <c r="I897" s="1"/>
      <c r="J897" s="1"/>
    </row>
    <row r="898" spans="1:10" x14ac:dyDescent="0.2">
      <c r="A898" s="1"/>
      <c r="B898" s="1"/>
      <c r="C898" s="1"/>
      <c r="H898" s="1"/>
      <c r="I898" s="1"/>
      <c r="J898" s="1"/>
    </row>
    <row r="899" spans="1:10" x14ac:dyDescent="0.2">
      <c r="A899" s="1"/>
      <c r="B899" s="1"/>
      <c r="C899" s="1"/>
      <c r="H899" s="1"/>
      <c r="I899" s="1"/>
      <c r="J899" s="1"/>
    </row>
    <row r="900" spans="1:10" x14ac:dyDescent="0.2">
      <c r="A900" s="1"/>
      <c r="B900" s="1"/>
      <c r="C900" s="1"/>
      <c r="H900" s="1"/>
      <c r="I900" s="1"/>
      <c r="J900" s="1"/>
    </row>
    <row r="901" spans="1:10" x14ac:dyDescent="0.2">
      <c r="A901" s="1"/>
      <c r="B901" s="1"/>
      <c r="C901" s="1"/>
      <c r="H901" s="1"/>
      <c r="I901" s="1"/>
      <c r="J901" s="1"/>
    </row>
    <row r="902" spans="1:10" x14ac:dyDescent="0.2">
      <c r="A902" s="1"/>
      <c r="B902" s="1"/>
      <c r="C902" s="1"/>
      <c r="H902" s="1"/>
      <c r="I902" s="1"/>
      <c r="J902" s="1"/>
    </row>
    <row r="903" spans="1:10" x14ac:dyDescent="0.2">
      <c r="A903" s="1"/>
      <c r="B903" s="1"/>
      <c r="C903" s="1"/>
      <c r="H903" s="1"/>
      <c r="I903" s="1"/>
      <c r="J903" s="1"/>
    </row>
    <row r="904" spans="1:10" x14ac:dyDescent="0.2">
      <c r="A904" s="1"/>
      <c r="B904" s="1"/>
      <c r="C904" s="1"/>
      <c r="H904" s="1"/>
      <c r="I904" s="1"/>
      <c r="J904" s="1"/>
    </row>
    <row r="905" spans="1:10" x14ac:dyDescent="0.2">
      <c r="A905" s="1"/>
      <c r="B905" s="1"/>
      <c r="C905" s="1"/>
      <c r="H905" s="1"/>
      <c r="I905" s="1"/>
      <c r="J905" s="1"/>
    </row>
    <row r="906" spans="1:10" x14ac:dyDescent="0.2">
      <c r="A906" s="1"/>
      <c r="B906" s="1"/>
      <c r="C906" s="1"/>
      <c r="H906" s="1"/>
      <c r="I906" s="1"/>
      <c r="J906" s="1"/>
    </row>
    <row r="907" spans="1:10" x14ac:dyDescent="0.2">
      <c r="A907" s="1"/>
      <c r="B907" s="1"/>
      <c r="C907" s="1"/>
      <c r="H907" s="1"/>
      <c r="I907" s="1"/>
      <c r="J907" s="1"/>
    </row>
    <row r="908" spans="1:10" x14ac:dyDescent="0.2">
      <c r="A908" s="1"/>
      <c r="B908" s="1"/>
      <c r="C908" s="1"/>
      <c r="H908" s="1"/>
      <c r="I908" s="1"/>
      <c r="J908" s="1"/>
    </row>
    <row r="909" spans="1:10" x14ac:dyDescent="0.2">
      <c r="A909" s="1"/>
      <c r="B909" s="1"/>
      <c r="C909" s="1"/>
      <c r="H909" s="1"/>
      <c r="I909" s="1"/>
      <c r="J909" s="1"/>
    </row>
    <row r="910" spans="1:10" x14ac:dyDescent="0.2">
      <c r="A910" s="1"/>
      <c r="B910" s="1"/>
      <c r="C910" s="1"/>
      <c r="H910" s="1"/>
      <c r="I910" s="1"/>
      <c r="J910" s="1"/>
    </row>
    <row r="911" spans="1:10" x14ac:dyDescent="0.2">
      <c r="A911" s="1"/>
      <c r="B911" s="1"/>
      <c r="C911" s="1"/>
      <c r="H911" s="1"/>
      <c r="I911" s="1"/>
      <c r="J911" s="1"/>
    </row>
    <row r="912" spans="1:10" x14ac:dyDescent="0.2">
      <c r="A912" s="1"/>
      <c r="B912" s="1"/>
      <c r="C912" s="1"/>
      <c r="H912" s="1"/>
      <c r="I912" s="1"/>
      <c r="J912" s="1"/>
    </row>
    <row r="913" spans="1:10" x14ac:dyDescent="0.2">
      <c r="A913" s="1"/>
      <c r="B913" s="1"/>
      <c r="C913" s="1"/>
      <c r="H913" s="1"/>
      <c r="I913" s="1"/>
      <c r="J913" s="1"/>
    </row>
    <row r="914" spans="1:10" x14ac:dyDescent="0.2">
      <c r="A914" s="1"/>
      <c r="B914" s="1"/>
      <c r="C914" s="1"/>
      <c r="H914" s="1"/>
      <c r="I914" s="1"/>
      <c r="J914" s="1"/>
    </row>
    <row r="915" spans="1:10" x14ac:dyDescent="0.2">
      <c r="A915" s="1"/>
      <c r="B915" s="1"/>
      <c r="C915" s="1"/>
      <c r="H915" s="1"/>
      <c r="I915" s="1"/>
      <c r="J915" s="1"/>
    </row>
    <row r="916" spans="1:10" x14ac:dyDescent="0.2">
      <c r="A916" s="1"/>
      <c r="B916" s="1"/>
      <c r="C916" s="1"/>
      <c r="H916" s="1"/>
      <c r="I916" s="1"/>
      <c r="J916" s="1"/>
    </row>
    <row r="917" spans="1:10" x14ac:dyDescent="0.2">
      <c r="A917" s="1"/>
      <c r="B917" s="1"/>
      <c r="C917" s="1"/>
      <c r="H917" s="1"/>
      <c r="I917" s="1"/>
      <c r="J917" s="1"/>
    </row>
    <row r="918" spans="1:10" x14ac:dyDescent="0.2">
      <c r="A918" s="1"/>
      <c r="B918" s="1"/>
      <c r="C918" s="1"/>
      <c r="H918" s="1"/>
      <c r="I918" s="1"/>
      <c r="J918" s="1"/>
    </row>
    <row r="919" spans="1:10" x14ac:dyDescent="0.2">
      <c r="A919" s="1"/>
      <c r="B919" s="1"/>
      <c r="C919" s="1"/>
      <c r="H919" s="1"/>
      <c r="I919" s="1"/>
      <c r="J919" s="1"/>
    </row>
    <row r="920" spans="1:10" x14ac:dyDescent="0.2">
      <c r="A920" s="1"/>
      <c r="B920" s="1"/>
      <c r="C920" s="1"/>
      <c r="H920" s="1"/>
      <c r="I920" s="1"/>
      <c r="J920" s="1"/>
    </row>
    <row r="921" spans="1:10" x14ac:dyDescent="0.2">
      <c r="A921" s="1"/>
      <c r="B921" s="1"/>
      <c r="C921" s="1"/>
      <c r="H921" s="1"/>
      <c r="I921" s="1"/>
      <c r="J921" s="1"/>
    </row>
    <row r="922" spans="1:10" x14ac:dyDescent="0.2">
      <c r="A922" s="1"/>
      <c r="B922" s="1"/>
      <c r="C922" s="1"/>
      <c r="H922" s="1"/>
      <c r="I922" s="1"/>
      <c r="J922" s="1"/>
    </row>
    <row r="923" spans="1:10" x14ac:dyDescent="0.2">
      <c r="A923" s="1"/>
      <c r="B923" s="1"/>
      <c r="C923" s="1"/>
      <c r="H923" s="1"/>
      <c r="I923" s="1"/>
      <c r="J923" s="1"/>
    </row>
    <row r="924" spans="1:10" x14ac:dyDescent="0.2">
      <c r="A924" s="1"/>
      <c r="B924" s="1"/>
      <c r="C924" s="1"/>
      <c r="H924" s="1"/>
      <c r="I924" s="1"/>
      <c r="J924" s="1"/>
    </row>
    <row r="925" spans="1:10" x14ac:dyDescent="0.2">
      <c r="A925" s="1"/>
      <c r="B925" s="1"/>
      <c r="C925" s="1"/>
      <c r="H925" s="1"/>
      <c r="I925" s="1"/>
      <c r="J925" s="1"/>
    </row>
    <row r="926" spans="1:10" x14ac:dyDescent="0.2">
      <c r="A926" s="1"/>
      <c r="B926" s="1"/>
      <c r="C926" s="1"/>
      <c r="H926" s="1"/>
      <c r="I926" s="1"/>
      <c r="J926" s="1"/>
    </row>
    <row r="927" spans="1:10" x14ac:dyDescent="0.2">
      <c r="A927" s="1"/>
      <c r="B927" s="1"/>
      <c r="C927" s="1"/>
      <c r="H927" s="1"/>
      <c r="I927" s="1"/>
      <c r="J927" s="1"/>
    </row>
    <row r="928" spans="1:10" x14ac:dyDescent="0.2">
      <c r="A928" s="1"/>
      <c r="B928" s="1"/>
      <c r="C928" s="1"/>
      <c r="H928" s="1"/>
      <c r="I928" s="1"/>
      <c r="J928" s="1"/>
    </row>
    <row r="929" spans="1:10" x14ac:dyDescent="0.2">
      <c r="A929" s="1"/>
      <c r="B929" s="1"/>
      <c r="C929" s="1"/>
      <c r="H929" s="1"/>
      <c r="I929" s="1"/>
      <c r="J929" s="1"/>
    </row>
    <row r="930" spans="1:10" x14ac:dyDescent="0.2">
      <c r="A930" s="1"/>
      <c r="B930" s="1"/>
      <c r="C930" s="1"/>
      <c r="H930" s="1"/>
      <c r="I930" s="1"/>
      <c r="J930" s="1"/>
    </row>
    <row r="931" spans="1:10" x14ac:dyDescent="0.2">
      <c r="A931" s="1"/>
      <c r="B931" s="1"/>
      <c r="C931" s="1"/>
      <c r="H931" s="1"/>
      <c r="I931" s="1"/>
      <c r="J931" s="1"/>
    </row>
    <row r="932" spans="1:10" x14ac:dyDescent="0.2">
      <c r="A932" s="1"/>
      <c r="B932" s="1"/>
      <c r="C932" s="1"/>
      <c r="H932" s="1"/>
      <c r="I932" s="1"/>
      <c r="J932" s="1"/>
    </row>
    <row r="933" spans="1:10" x14ac:dyDescent="0.2">
      <c r="A933" s="1"/>
      <c r="B933" s="1"/>
      <c r="C933" s="1"/>
      <c r="H933" s="1"/>
      <c r="I933" s="1"/>
      <c r="J933" s="1"/>
    </row>
    <row r="934" spans="1:10" x14ac:dyDescent="0.2">
      <c r="A934" s="1"/>
      <c r="B934" s="1"/>
      <c r="C934" s="1"/>
      <c r="H934" s="1"/>
      <c r="I934" s="1"/>
      <c r="J934" s="1"/>
    </row>
    <row r="935" spans="1:10" x14ac:dyDescent="0.2">
      <c r="A935" s="1"/>
      <c r="B935" s="1"/>
      <c r="C935" s="1"/>
      <c r="H935" s="1"/>
      <c r="I935" s="1"/>
      <c r="J935" s="1"/>
    </row>
    <row r="936" spans="1:10" x14ac:dyDescent="0.2">
      <c r="A936" s="1"/>
      <c r="B936" s="1"/>
      <c r="C936" s="1"/>
      <c r="H936" s="1"/>
      <c r="I936" s="1"/>
      <c r="J936" s="1"/>
    </row>
    <row r="937" spans="1:10" x14ac:dyDescent="0.2">
      <c r="A937" s="1"/>
      <c r="B937" s="1"/>
      <c r="C937" s="1"/>
      <c r="H937" s="1"/>
      <c r="I937" s="1"/>
      <c r="J937" s="1"/>
    </row>
    <row r="938" spans="1:10" x14ac:dyDescent="0.2">
      <c r="A938" s="1"/>
      <c r="B938" s="1"/>
      <c r="C938" s="1"/>
      <c r="H938" s="1"/>
      <c r="I938" s="1"/>
      <c r="J938" s="1"/>
    </row>
    <row r="939" spans="1:10" x14ac:dyDescent="0.2">
      <c r="A939" s="1"/>
      <c r="B939" s="1"/>
      <c r="C939" s="1"/>
      <c r="H939" s="1"/>
      <c r="I939" s="1"/>
      <c r="J939" s="1"/>
    </row>
    <row r="940" spans="1:10" x14ac:dyDescent="0.2">
      <c r="A940" s="1"/>
      <c r="B940" s="1"/>
      <c r="C940" s="1"/>
      <c r="H940" s="1"/>
      <c r="I940" s="1"/>
      <c r="J940" s="1"/>
    </row>
    <row r="941" spans="1:10" x14ac:dyDescent="0.2">
      <c r="A941" s="1"/>
      <c r="B941" s="1"/>
      <c r="C941" s="1"/>
      <c r="H941" s="1"/>
      <c r="I941" s="1"/>
      <c r="J941" s="1"/>
    </row>
    <row r="942" spans="1:10" x14ac:dyDescent="0.2">
      <c r="A942" s="1"/>
      <c r="B942" s="1"/>
      <c r="C942" s="1"/>
      <c r="H942" s="1"/>
      <c r="I942" s="1"/>
      <c r="J942" s="1"/>
    </row>
    <row r="943" spans="1:10" x14ac:dyDescent="0.2">
      <c r="A943" s="1"/>
      <c r="B943" s="1"/>
      <c r="C943" s="1"/>
      <c r="H943" s="1"/>
      <c r="I943" s="1"/>
      <c r="J943" s="1"/>
    </row>
    <row r="944" spans="1:10" x14ac:dyDescent="0.2">
      <c r="A944" s="1"/>
      <c r="B944" s="1"/>
      <c r="C944" s="1"/>
      <c r="H944" s="1"/>
      <c r="I944" s="1"/>
      <c r="J944" s="1"/>
    </row>
    <row r="945" spans="1:10" x14ac:dyDescent="0.2">
      <c r="A945" s="1"/>
      <c r="B945" s="1"/>
      <c r="C945" s="1"/>
      <c r="H945" s="1"/>
      <c r="I945" s="1"/>
      <c r="J945" s="1"/>
    </row>
    <row r="946" spans="1:10" x14ac:dyDescent="0.2">
      <c r="A946" s="1"/>
      <c r="B946" s="1"/>
      <c r="C946" s="1"/>
      <c r="H946" s="1"/>
      <c r="I946" s="1"/>
      <c r="J946" s="1"/>
    </row>
    <row r="947" spans="1:10" x14ac:dyDescent="0.2">
      <c r="A947" s="1"/>
      <c r="B947" s="1"/>
      <c r="C947" s="1"/>
      <c r="H947" s="1"/>
      <c r="I947" s="1"/>
      <c r="J947" s="1"/>
    </row>
    <row r="948" spans="1:10" x14ac:dyDescent="0.2">
      <c r="A948" s="1"/>
      <c r="B948" s="1"/>
      <c r="C948" s="1"/>
      <c r="H948" s="1"/>
      <c r="I948" s="1"/>
      <c r="J948" s="1"/>
    </row>
    <row r="949" spans="1:10" x14ac:dyDescent="0.2">
      <c r="A949" s="1"/>
      <c r="B949" s="1"/>
      <c r="C949" s="1"/>
      <c r="H949" s="1"/>
      <c r="I949" s="1"/>
      <c r="J949" s="1"/>
    </row>
    <row r="950" spans="1:10" x14ac:dyDescent="0.2">
      <c r="A950" s="1"/>
      <c r="B950" s="1"/>
      <c r="C950" s="1"/>
      <c r="H950" s="1"/>
      <c r="I950" s="1"/>
      <c r="J950" s="1"/>
    </row>
    <row r="951" spans="1:10" x14ac:dyDescent="0.2">
      <c r="A951" s="1"/>
      <c r="B951" s="1"/>
      <c r="C951" s="1"/>
      <c r="H951" s="1"/>
      <c r="I951" s="1"/>
      <c r="J951" s="1"/>
    </row>
    <row r="952" spans="1:10" x14ac:dyDescent="0.2">
      <c r="A952" s="1"/>
      <c r="B952" s="1"/>
      <c r="C952" s="1"/>
      <c r="H952" s="1"/>
      <c r="I952" s="1"/>
      <c r="J952" s="1"/>
    </row>
    <row r="953" spans="1:10" x14ac:dyDescent="0.2">
      <c r="A953" s="1"/>
      <c r="B953" s="1"/>
      <c r="C953" s="1"/>
      <c r="H953" s="1"/>
      <c r="I953" s="1"/>
      <c r="J953" s="1"/>
    </row>
    <row r="954" spans="1:10" x14ac:dyDescent="0.2">
      <c r="A954" s="1"/>
      <c r="B954" s="1"/>
      <c r="C954" s="1"/>
      <c r="H954" s="1"/>
      <c r="I954" s="1"/>
      <c r="J954" s="1"/>
    </row>
    <row r="955" spans="1:10" x14ac:dyDescent="0.2">
      <c r="A955" s="1"/>
      <c r="B955" s="1"/>
      <c r="C955" s="1"/>
      <c r="H955" s="1"/>
      <c r="I955" s="1"/>
      <c r="J955" s="1"/>
    </row>
    <row r="956" spans="1:10" x14ac:dyDescent="0.2">
      <c r="A956" s="1"/>
      <c r="B956" s="1"/>
      <c r="C956" s="1"/>
      <c r="H956" s="1"/>
      <c r="I956" s="1"/>
      <c r="J956" s="1"/>
    </row>
    <row r="957" spans="1:10" x14ac:dyDescent="0.2">
      <c r="A957" s="1"/>
      <c r="B957" s="1"/>
      <c r="C957" s="1"/>
      <c r="H957" s="1"/>
      <c r="I957" s="1"/>
      <c r="J957" s="1"/>
    </row>
    <row r="958" spans="1:10" x14ac:dyDescent="0.2">
      <c r="A958" s="1"/>
      <c r="B958" s="1"/>
      <c r="C958" s="1"/>
      <c r="H958" s="1"/>
      <c r="I958" s="1"/>
      <c r="J958" s="1"/>
    </row>
    <row r="959" spans="1:10" x14ac:dyDescent="0.2">
      <c r="A959" s="1"/>
      <c r="B959" s="1"/>
      <c r="C959" s="1"/>
      <c r="H959" s="1"/>
      <c r="I959" s="1"/>
      <c r="J959" s="1"/>
    </row>
    <row r="960" spans="1:10" x14ac:dyDescent="0.2">
      <c r="A960" s="1"/>
      <c r="B960" s="1"/>
      <c r="C960" s="1"/>
      <c r="H960" s="1"/>
      <c r="I960" s="1"/>
      <c r="J960" s="1"/>
    </row>
    <row r="961" spans="1:10" x14ac:dyDescent="0.2">
      <c r="A961" s="1"/>
      <c r="B961" s="1"/>
      <c r="C961" s="1"/>
      <c r="H961" s="1"/>
      <c r="I961" s="1"/>
      <c r="J961" s="1"/>
    </row>
    <row r="962" spans="1:10" x14ac:dyDescent="0.2">
      <c r="A962" s="1"/>
      <c r="B962" s="1"/>
      <c r="C962" s="1"/>
      <c r="H962" s="1"/>
      <c r="I962" s="1"/>
      <c r="J962" s="1"/>
    </row>
    <row r="963" spans="1:10" x14ac:dyDescent="0.2">
      <c r="A963" s="1"/>
      <c r="B963" s="1"/>
      <c r="C963" s="1"/>
      <c r="H963" s="1"/>
      <c r="I963" s="1"/>
      <c r="J963" s="1"/>
    </row>
    <row r="964" spans="1:10" x14ac:dyDescent="0.2">
      <c r="A964" s="1"/>
      <c r="B964" s="1"/>
      <c r="C964" s="1"/>
      <c r="H964" s="1"/>
      <c r="I964" s="1"/>
      <c r="J964" s="1"/>
    </row>
    <row r="965" spans="1:10" x14ac:dyDescent="0.2">
      <c r="A965" s="1"/>
      <c r="B965" s="1"/>
      <c r="C965" s="1"/>
      <c r="H965" s="1"/>
      <c r="I965" s="1"/>
      <c r="J965" s="1"/>
    </row>
    <row r="966" spans="1:10" x14ac:dyDescent="0.2">
      <c r="A966" s="1"/>
      <c r="B966" s="1"/>
      <c r="C966" s="1"/>
      <c r="H966" s="1"/>
      <c r="I966" s="1"/>
      <c r="J966" s="1"/>
    </row>
    <row r="967" spans="1:10" x14ac:dyDescent="0.2">
      <c r="A967" s="1"/>
      <c r="B967" s="1"/>
      <c r="C967" s="1"/>
      <c r="H967" s="1"/>
      <c r="I967" s="1"/>
      <c r="J967" s="1"/>
    </row>
    <row r="968" spans="1:10" x14ac:dyDescent="0.2">
      <c r="A968" s="1"/>
      <c r="B968" s="1"/>
      <c r="C968" s="1"/>
      <c r="H968" s="1"/>
      <c r="I968" s="1"/>
      <c r="J968" s="1"/>
    </row>
    <row r="969" spans="1:10" x14ac:dyDescent="0.2">
      <c r="A969" s="1"/>
      <c r="B969" s="1"/>
      <c r="C969" s="1"/>
      <c r="H969" s="1"/>
      <c r="I969" s="1"/>
      <c r="J969" s="1"/>
    </row>
    <row r="970" spans="1:10" x14ac:dyDescent="0.2">
      <c r="A970" s="1"/>
      <c r="B970" s="1"/>
      <c r="C970" s="1"/>
      <c r="H970" s="1"/>
      <c r="I970" s="1"/>
      <c r="J970" s="1"/>
    </row>
    <row r="971" spans="1:10" x14ac:dyDescent="0.2">
      <c r="A971" s="1"/>
      <c r="B971" s="1"/>
      <c r="C971" s="1"/>
      <c r="H971" s="1"/>
      <c r="I971" s="1"/>
      <c r="J971" s="1"/>
    </row>
    <row r="972" spans="1:10" x14ac:dyDescent="0.2">
      <c r="A972" s="1"/>
      <c r="B972" s="1"/>
      <c r="C972" s="1"/>
      <c r="H972" s="1"/>
      <c r="I972" s="1"/>
      <c r="J972" s="1"/>
    </row>
    <row r="973" spans="1:10" x14ac:dyDescent="0.2">
      <c r="A973" s="1"/>
      <c r="B973" s="1"/>
      <c r="C973" s="1"/>
      <c r="H973" s="1"/>
      <c r="I973" s="1"/>
      <c r="J973" s="1"/>
    </row>
    <row r="974" spans="1:10" x14ac:dyDescent="0.2">
      <c r="A974" s="1"/>
      <c r="B974" s="1"/>
      <c r="C974" s="1"/>
      <c r="H974" s="1"/>
      <c r="I974" s="1"/>
      <c r="J974" s="1"/>
    </row>
    <row r="975" spans="1:10" x14ac:dyDescent="0.2">
      <c r="A975" s="1"/>
      <c r="B975" s="1"/>
      <c r="C975" s="1"/>
      <c r="H975" s="1"/>
      <c r="I975" s="1"/>
      <c r="J975" s="1"/>
    </row>
    <row r="976" spans="1:10" x14ac:dyDescent="0.2">
      <c r="A976" s="1"/>
      <c r="B976" s="1"/>
      <c r="C976" s="1"/>
      <c r="H976" s="1"/>
      <c r="I976" s="1"/>
      <c r="J976" s="1"/>
    </row>
    <row r="977" spans="1:10" x14ac:dyDescent="0.2">
      <c r="A977" s="1"/>
      <c r="B977" s="1"/>
      <c r="C977" s="1"/>
      <c r="H977" s="1"/>
      <c r="I977" s="1"/>
      <c r="J977" s="1"/>
    </row>
    <row r="978" spans="1:10" x14ac:dyDescent="0.2">
      <c r="A978" s="1"/>
      <c r="B978" s="1"/>
      <c r="C978" s="1"/>
      <c r="H978" s="1"/>
      <c r="I978" s="1"/>
      <c r="J978" s="1"/>
    </row>
    <row r="979" spans="1:10" x14ac:dyDescent="0.2">
      <c r="A979" s="1"/>
      <c r="B979" s="1"/>
      <c r="C979" s="1"/>
      <c r="H979" s="1"/>
      <c r="I979" s="1"/>
      <c r="J979" s="1"/>
    </row>
    <row r="980" spans="1:10" x14ac:dyDescent="0.2">
      <c r="A980" s="1"/>
      <c r="B980" s="1"/>
      <c r="C980" s="1"/>
      <c r="H980" s="1"/>
      <c r="I980" s="1"/>
      <c r="J980" s="1"/>
    </row>
    <row r="981" spans="1:10" x14ac:dyDescent="0.2">
      <c r="A981" s="1"/>
      <c r="B981" s="1"/>
      <c r="C981" s="1"/>
      <c r="H981" s="1"/>
      <c r="I981" s="1"/>
      <c r="J981" s="1"/>
    </row>
    <row r="982" spans="1:10" x14ac:dyDescent="0.2">
      <c r="A982" s="1"/>
      <c r="B982" s="1"/>
      <c r="C982" s="1"/>
      <c r="H982" s="1"/>
      <c r="I982" s="1"/>
      <c r="J982" s="1"/>
    </row>
    <row r="983" spans="1:10" x14ac:dyDescent="0.2">
      <c r="A983" s="1"/>
      <c r="B983" s="1"/>
      <c r="C983" s="1"/>
      <c r="H983" s="1"/>
      <c r="I983" s="1"/>
      <c r="J983" s="1"/>
    </row>
    <row r="984" spans="1:10" x14ac:dyDescent="0.2">
      <c r="A984" s="1"/>
      <c r="B984" s="1"/>
      <c r="C984" s="1"/>
      <c r="H984" s="1"/>
      <c r="I984" s="1"/>
      <c r="J984" s="1"/>
    </row>
    <row r="985" spans="1:10" x14ac:dyDescent="0.2">
      <c r="A985" s="1"/>
      <c r="B985" s="1"/>
      <c r="C985" s="1"/>
      <c r="H985" s="1"/>
      <c r="I985" s="1"/>
      <c r="J985" s="1"/>
    </row>
    <row r="986" spans="1:10" x14ac:dyDescent="0.2">
      <c r="A986" s="1"/>
      <c r="B986" s="1"/>
      <c r="C986" s="1"/>
      <c r="H986" s="1"/>
      <c r="I986" s="1"/>
      <c r="J986" s="1"/>
    </row>
    <row r="987" spans="1:10" x14ac:dyDescent="0.2">
      <c r="A987" s="1"/>
      <c r="B987" s="1"/>
      <c r="C987" s="1"/>
      <c r="H987" s="1"/>
      <c r="I987" s="1"/>
      <c r="J987" s="1"/>
    </row>
    <row r="988" spans="1:10" x14ac:dyDescent="0.2">
      <c r="A988" s="1"/>
      <c r="B988" s="1"/>
      <c r="C988" s="1"/>
      <c r="H988" s="1"/>
      <c r="I988" s="1"/>
      <c r="J988" s="1"/>
    </row>
    <row r="989" spans="1:10" x14ac:dyDescent="0.2">
      <c r="A989" s="1"/>
      <c r="B989" s="1"/>
      <c r="C989" s="1"/>
      <c r="H989" s="1"/>
      <c r="I989" s="1"/>
      <c r="J989" s="1"/>
    </row>
    <row r="990" spans="1:10" x14ac:dyDescent="0.2">
      <c r="A990" s="1"/>
      <c r="B990" s="1"/>
      <c r="C990" s="1"/>
      <c r="H990" s="1"/>
      <c r="I990" s="1"/>
      <c r="J990" s="1"/>
    </row>
    <row r="991" spans="1:10" x14ac:dyDescent="0.2">
      <c r="A991" s="1"/>
      <c r="B991" s="1"/>
      <c r="C991" s="1"/>
      <c r="H991" s="1"/>
      <c r="I991" s="1"/>
      <c r="J991" s="1"/>
    </row>
    <row r="992" spans="1:10" x14ac:dyDescent="0.2">
      <c r="A992" s="1"/>
      <c r="B992" s="1"/>
      <c r="C992" s="1"/>
      <c r="H992" s="1"/>
      <c r="I992" s="1"/>
      <c r="J992" s="1"/>
    </row>
    <row r="993" spans="1:10" x14ac:dyDescent="0.2">
      <c r="A993" s="1"/>
      <c r="B993" s="1"/>
      <c r="C993" s="1"/>
      <c r="H993" s="1"/>
      <c r="I993" s="1"/>
      <c r="J993" s="1"/>
    </row>
    <row r="994" spans="1:10" x14ac:dyDescent="0.2">
      <c r="A994" s="1"/>
      <c r="B994" s="1"/>
      <c r="C994" s="1"/>
      <c r="H994" s="1"/>
      <c r="I994" s="1"/>
      <c r="J994" s="1"/>
    </row>
    <row r="995" spans="1:10" x14ac:dyDescent="0.2">
      <c r="A995" s="1"/>
      <c r="B995" s="1"/>
      <c r="C995" s="1"/>
      <c r="H995" s="1"/>
      <c r="I995" s="1"/>
      <c r="J995" s="1"/>
    </row>
    <row r="996" spans="1:10" x14ac:dyDescent="0.2">
      <c r="A996" s="1"/>
      <c r="B996" s="1"/>
      <c r="C996" s="1"/>
      <c r="H996" s="1"/>
      <c r="I996" s="1"/>
      <c r="J996" s="1"/>
    </row>
    <row r="997" spans="1:10" x14ac:dyDescent="0.2">
      <c r="A997" s="1"/>
      <c r="B997" s="1"/>
      <c r="C997" s="1"/>
      <c r="H997" s="1"/>
      <c r="I997" s="1"/>
      <c r="J997" s="1"/>
    </row>
    <row r="998" spans="1:10" x14ac:dyDescent="0.2">
      <c r="A998" s="1"/>
      <c r="B998" s="1"/>
      <c r="C998" s="1"/>
      <c r="H998" s="1"/>
      <c r="I998" s="1"/>
      <c r="J998" s="1"/>
    </row>
    <row r="999" spans="1:10" x14ac:dyDescent="0.2">
      <c r="A999" s="1"/>
      <c r="B999" s="1"/>
      <c r="C999" s="1"/>
      <c r="H999" s="1"/>
      <c r="I999" s="1"/>
      <c r="J999" s="1"/>
    </row>
    <row r="1000" spans="1:10" x14ac:dyDescent="0.2">
      <c r="A1000" s="1"/>
      <c r="B1000" s="1"/>
      <c r="C1000" s="1"/>
      <c r="H1000" s="1"/>
      <c r="I1000" s="1"/>
      <c r="J1000" s="1"/>
    </row>
    <row r="1001" spans="1:10" x14ac:dyDescent="0.2">
      <c r="A1001" s="1"/>
      <c r="B1001" s="1"/>
      <c r="C1001" s="1"/>
      <c r="H1001" s="1"/>
      <c r="I1001" s="1"/>
      <c r="J1001" s="1"/>
    </row>
    <row r="1002" spans="1:10" x14ac:dyDescent="0.2">
      <c r="A1002" s="1"/>
      <c r="B1002" s="1"/>
      <c r="C1002" s="1"/>
      <c r="H1002" s="1"/>
      <c r="I1002" s="1"/>
      <c r="J1002" s="1"/>
    </row>
    <row r="1003" spans="1:10" x14ac:dyDescent="0.2">
      <c r="A1003" s="1"/>
      <c r="B1003" s="1"/>
      <c r="C1003" s="1"/>
      <c r="H1003" s="1"/>
      <c r="I1003" s="1"/>
      <c r="J1003" s="1"/>
    </row>
    <row r="1004" spans="1:10" x14ac:dyDescent="0.2">
      <c r="A1004" s="1"/>
      <c r="B1004" s="1"/>
      <c r="C1004" s="1"/>
      <c r="H1004" s="1"/>
      <c r="I1004" s="1"/>
      <c r="J1004" s="1"/>
    </row>
    <row r="1005" spans="1:10" x14ac:dyDescent="0.2">
      <c r="A1005" s="1"/>
      <c r="B1005" s="1"/>
      <c r="C1005" s="1"/>
      <c r="H1005" s="1"/>
      <c r="I1005" s="1"/>
      <c r="J1005" s="1"/>
    </row>
    <row r="1006" spans="1:10" x14ac:dyDescent="0.2">
      <c r="A1006" s="1"/>
      <c r="B1006" s="1"/>
      <c r="C1006" s="1"/>
      <c r="H1006" s="1"/>
      <c r="I1006" s="1"/>
      <c r="J1006" s="1"/>
    </row>
    <row r="1007" spans="1:10" x14ac:dyDescent="0.2">
      <c r="A1007" s="1"/>
      <c r="B1007" s="1"/>
      <c r="C1007" s="1"/>
      <c r="H1007" s="1"/>
      <c r="I1007" s="1"/>
      <c r="J1007" s="1"/>
    </row>
    <row r="1008" spans="1:10" x14ac:dyDescent="0.2">
      <c r="A1008" s="1"/>
      <c r="B1008" s="1"/>
      <c r="C1008" s="1"/>
      <c r="H1008" s="1"/>
      <c r="I1008" s="1"/>
      <c r="J1008" s="1"/>
    </row>
    <row r="1009" spans="1:10" x14ac:dyDescent="0.2">
      <c r="A1009" s="1"/>
      <c r="B1009" s="1"/>
      <c r="C1009" s="1"/>
      <c r="H1009" s="1"/>
      <c r="I1009" s="1"/>
      <c r="J1009" s="1"/>
    </row>
    <row r="1010" spans="1:10" x14ac:dyDescent="0.2">
      <c r="A1010" s="1"/>
      <c r="B1010" s="1"/>
      <c r="C1010" s="1"/>
      <c r="H1010" s="1"/>
      <c r="I1010" s="1"/>
      <c r="J1010" s="1"/>
    </row>
    <row r="1011" spans="1:10" x14ac:dyDescent="0.2">
      <c r="A1011" s="1"/>
      <c r="B1011" s="1"/>
      <c r="C1011" s="1"/>
      <c r="H1011" s="1"/>
      <c r="I1011" s="1"/>
      <c r="J1011" s="1"/>
    </row>
    <row r="1012" spans="1:10" x14ac:dyDescent="0.2">
      <c r="A1012" s="1"/>
      <c r="B1012" s="1"/>
      <c r="C1012" s="1"/>
      <c r="H1012" s="1"/>
      <c r="I1012" s="1"/>
      <c r="J1012" s="1"/>
    </row>
    <row r="1013" spans="1:10" x14ac:dyDescent="0.2">
      <c r="A1013" s="1"/>
      <c r="B1013" s="1"/>
      <c r="C1013" s="1"/>
      <c r="H1013" s="1"/>
      <c r="I1013" s="1"/>
      <c r="J1013" s="1"/>
    </row>
    <row r="1014" spans="1:10" x14ac:dyDescent="0.2">
      <c r="A1014" s="1"/>
      <c r="B1014" s="1"/>
      <c r="C1014" s="1"/>
      <c r="H1014" s="1"/>
      <c r="I1014" s="1"/>
      <c r="J1014" s="1"/>
    </row>
    <row r="1015" spans="1:10" x14ac:dyDescent="0.2">
      <c r="A1015" s="1"/>
      <c r="B1015" s="1"/>
      <c r="C1015" s="1"/>
      <c r="H1015" s="1"/>
      <c r="I1015" s="1"/>
      <c r="J1015" s="1"/>
    </row>
    <row r="1016" spans="1:10" x14ac:dyDescent="0.2">
      <c r="A1016" s="1"/>
      <c r="B1016" s="1"/>
      <c r="C1016" s="1"/>
      <c r="H1016" s="1"/>
      <c r="I1016" s="1"/>
      <c r="J1016" s="1"/>
    </row>
    <row r="1017" spans="1:10" x14ac:dyDescent="0.2">
      <c r="A1017" s="1"/>
      <c r="B1017" s="1"/>
      <c r="C1017" s="1"/>
      <c r="H1017" s="1"/>
      <c r="I1017" s="1"/>
      <c r="J1017" s="1"/>
    </row>
    <row r="1018" spans="1:10" x14ac:dyDescent="0.2">
      <c r="A1018" s="1"/>
      <c r="B1018" s="1"/>
      <c r="C1018" s="1"/>
      <c r="H1018" s="1"/>
      <c r="I1018" s="1"/>
      <c r="J1018" s="1"/>
    </row>
    <row r="1019" spans="1:10" x14ac:dyDescent="0.2">
      <c r="A1019" s="1"/>
      <c r="B1019" s="1"/>
      <c r="C1019" s="1"/>
      <c r="H1019" s="1"/>
      <c r="I1019" s="1"/>
      <c r="J1019" s="1"/>
    </row>
    <row r="1020" spans="1:10" x14ac:dyDescent="0.2">
      <c r="A1020" s="1"/>
      <c r="B1020" s="1"/>
      <c r="C1020" s="1"/>
      <c r="H1020" s="1"/>
      <c r="I1020" s="1"/>
      <c r="J1020" s="1"/>
    </row>
    <row r="1021" spans="1:10" x14ac:dyDescent="0.2">
      <c r="A1021" s="1"/>
      <c r="B1021" s="1"/>
      <c r="C1021" s="1"/>
      <c r="H1021" s="1"/>
      <c r="I1021" s="1"/>
      <c r="J1021" s="1"/>
    </row>
    <row r="1022" spans="1:10" x14ac:dyDescent="0.2">
      <c r="A1022" s="1"/>
      <c r="B1022" s="1"/>
      <c r="C1022" s="1"/>
      <c r="H1022" s="1"/>
      <c r="I1022" s="1"/>
      <c r="J1022" s="1"/>
    </row>
    <row r="1023" spans="1:10" x14ac:dyDescent="0.2">
      <c r="A1023" s="1"/>
      <c r="B1023" s="1"/>
      <c r="C1023" s="1"/>
      <c r="H1023" s="1"/>
      <c r="I1023" s="1"/>
      <c r="J1023" s="1"/>
    </row>
    <row r="1024" spans="1:10" x14ac:dyDescent="0.2">
      <c r="A1024" s="1"/>
      <c r="B1024" s="1"/>
      <c r="C1024" s="1"/>
      <c r="H1024" s="1"/>
      <c r="I1024" s="1"/>
      <c r="J1024" s="1"/>
    </row>
    <row r="1025" spans="1:10" x14ac:dyDescent="0.2">
      <c r="A1025" s="1"/>
      <c r="B1025" s="1"/>
      <c r="C1025" s="1"/>
      <c r="H1025" s="1"/>
      <c r="I1025" s="1"/>
      <c r="J1025" s="1"/>
    </row>
    <row r="1026" spans="1:10" x14ac:dyDescent="0.2">
      <c r="A1026" s="1"/>
      <c r="B1026" s="1"/>
      <c r="C1026" s="1"/>
      <c r="H1026" s="1"/>
      <c r="I1026" s="1"/>
      <c r="J1026" s="1"/>
    </row>
    <row r="1027" spans="1:10" x14ac:dyDescent="0.2">
      <c r="A1027" s="1"/>
      <c r="B1027" s="1"/>
      <c r="C1027" s="1"/>
      <c r="H1027" s="1"/>
      <c r="I1027" s="1"/>
      <c r="J1027" s="1"/>
    </row>
    <row r="1028" spans="1:10" x14ac:dyDescent="0.2">
      <c r="A1028" s="1"/>
      <c r="B1028" s="1"/>
      <c r="C1028" s="1"/>
      <c r="H1028" s="1"/>
      <c r="I1028" s="1"/>
      <c r="J1028" s="1"/>
    </row>
    <row r="1029" spans="1:10" x14ac:dyDescent="0.2">
      <c r="A1029" s="1"/>
      <c r="B1029" s="1"/>
      <c r="C1029" s="1"/>
      <c r="H1029" s="1"/>
      <c r="I1029" s="1"/>
      <c r="J1029" s="1"/>
    </row>
    <row r="1030" spans="1:10" x14ac:dyDescent="0.2">
      <c r="A1030" s="1"/>
      <c r="B1030" s="1"/>
      <c r="C1030" s="1"/>
      <c r="H1030" s="1"/>
      <c r="I1030" s="1"/>
      <c r="J1030" s="1"/>
    </row>
    <row r="1031" spans="1:10" x14ac:dyDescent="0.2">
      <c r="A1031" s="1"/>
      <c r="B1031" s="1"/>
      <c r="C1031" s="1"/>
      <c r="H1031" s="1"/>
      <c r="I1031" s="1"/>
      <c r="J1031" s="1"/>
    </row>
    <row r="1032" spans="1:10" x14ac:dyDescent="0.2">
      <c r="A1032" s="1"/>
      <c r="B1032" s="1"/>
      <c r="C1032" s="1"/>
      <c r="H1032" s="1"/>
      <c r="I1032" s="1"/>
      <c r="J1032" s="1"/>
    </row>
    <row r="1033" spans="1:10" x14ac:dyDescent="0.2">
      <c r="A1033" s="1"/>
      <c r="B1033" s="1"/>
      <c r="C1033" s="1"/>
      <c r="H1033" s="1"/>
      <c r="I1033" s="1"/>
      <c r="J1033" s="1"/>
    </row>
    <row r="1034" spans="1:10" x14ac:dyDescent="0.2">
      <c r="A1034" s="1"/>
      <c r="B1034" s="1"/>
      <c r="C1034" s="1"/>
      <c r="H1034" s="1"/>
      <c r="I1034" s="1"/>
      <c r="J1034" s="1"/>
    </row>
    <row r="1035" spans="1:10" x14ac:dyDescent="0.2">
      <c r="A1035" s="1"/>
      <c r="B1035" s="1"/>
      <c r="C1035" s="1"/>
      <c r="H1035" s="1"/>
      <c r="I1035" s="1"/>
      <c r="J1035" s="1"/>
    </row>
    <row r="1036" spans="1:10" x14ac:dyDescent="0.2">
      <c r="A1036" s="1"/>
      <c r="B1036" s="1"/>
      <c r="C1036" s="1"/>
      <c r="H1036" s="1"/>
      <c r="I1036" s="1"/>
      <c r="J1036" s="1"/>
    </row>
    <row r="1037" spans="1:10" x14ac:dyDescent="0.2">
      <c r="A1037" s="1"/>
      <c r="B1037" s="1"/>
      <c r="C1037" s="1"/>
      <c r="H1037" s="1"/>
      <c r="I1037" s="1"/>
      <c r="J1037" s="1"/>
    </row>
    <row r="1038" spans="1:10" x14ac:dyDescent="0.2">
      <c r="A1038" s="1"/>
      <c r="B1038" s="1"/>
      <c r="C1038" s="1"/>
      <c r="H1038" s="1"/>
      <c r="I1038" s="1"/>
      <c r="J1038" s="1"/>
    </row>
    <row r="1039" spans="1:10" x14ac:dyDescent="0.2">
      <c r="A1039" s="1"/>
      <c r="B1039" s="1"/>
      <c r="C1039" s="1"/>
      <c r="H1039" s="1"/>
      <c r="I1039" s="1"/>
      <c r="J1039" s="1"/>
    </row>
    <row r="1040" spans="1:10" x14ac:dyDescent="0.2">
      <c r="A1040" s="1"/>
      <c r="B1040" s="1"/>
      <c r="C1040" s="1"/>
      <c r="H1040" s="1"/>
      <c r="I1040" s="1"/>
      <c r="J1040" s="1"/>
    </row>
    <row r="1041" spans="1:10" x14ac:dyDescent="0.2">
      <c r="A1041" s="1"/>
      <c r="B1041" s="1"/>
      <c r="C1041" s="1"/>
      <c r="H1041" s="1"/>
      <c r="I1041" s="1"/>
      <c r="J1041" s="1"/>
    </row>
    <row r="1042" spans="1:10" x14ac:dyDescent="0.2">
      <c r="A1042" s="1"/>
      <c r="B1042" s="1"/>
      <c r="C1042" s="1"/>
      <c r="H1042" s="1"/>
      <c r="I1042" s="1"/>
      <c r="J1042" s="1"/>
    </row>
    <row r="1043" spans="1:10" x14ac:dyDescent="0.2">
      <c r="A1043" s="1"/>
      <c r="B1043" s="1"/>
      <c r="C1043" s="1"/>
      <c r="H1043" s="1"/>
      <c r="I1043" s="1"/>
      <c r="J1043" s="1"/>
    </row>
    <row r="1044" spans="1:10" x14ac:dyDescent="0.2">
      <c r="A1044" s="1"/>
      <c r="B1044" s="1"/>
      <c r="C1044" s="1"/>
      <c r="H1044" s="1"/>
      <c r="I1044" s="1"/>
      <c r="J1044" s="1"/>
    </row>
    <row r="1045" spans="1:10" x14ac:dyDescent="0.2">
      <c r="A1045" s="1"/>
      <c r="B1045" s="1"/>
      <c r="C1045" s="1"/>
      <c r="H1045" s="1"/>
      <c r="I1045" s="1"/>
      <c r="J1045" s="1"/>
    </row>
    <row r="1046" spans="1:10" x14ac:dyDescent="0.2">
      <c r="A1046" s="1"/>
      <c r="B1046" s="1"/>
      <c r="C1046" s="1"/>
      <c r="H1046" s="1"/>
      <c r="I1046" s="1"/>
      <c r="J1046" s="1"/>
    </row>
    <row r="1047" spans="1:10" x14ac:dyDescent="0.2">
      <c r="A1047" s="1"/>
      <c r="B1047" s="1"/>
      <c r="C1047" s="1"/>
      <c r="H1047" s="1"/>
      <c r="I1047" s="1"/>
      <c r="J1047" s="1"/>
    </row>
    <row r="1048" spans="1:10" x14ac:dyDescent="0.2">
      <c r="A1048" s="1"/>
      <c r="B1048" s="1"/>
      <c r="C1048" s="1"/>
      <c r="H1048" s="1"/>
      <c r="I1048" s="1"/>
      <c r="J1048" s="1"/>
    </row>
    <row r="1049" spans="1:10" x14ac:dyDescent="0.2">
      <c r="A1049" s="1"/>
      <c r="B1049" s="1"/>
      <c r="C1049" s="1"/>
      <c r="H1049" s="1"/>
      <c r="I1049" s="1"/>
      <c r="J1049" s="1"/>
    </row>
    <row r="1050" spans="1:10" x14ac:dyDescent="0.2">
      <c r="A1050" s="1"/>
      <c r="B1050" s="1"/>
      <c r="C1050" s="1"/>
      <c r="H1050" s="1"/>
      <c r="I1050" s="1"/>
      <c r="J1050" s="1"/>
    </row>
    <row r="1051" spans="1:10" x14ac:dyDescent="0.2">
      <c r="A1051" s="1"/>
      <c r="B1051" s="1"/>
      <c r="C1051" s="1"/>
      <c r="H1051" s="1"/>
      <c r="I1051" s="1"/>
      <c r="J1051" s="1"/>
    </row>
    <row r="1052" spans="1:10" x14ac:dyDescent="0.2">
      <c r="A1052" s="1"/>
      <c r="B1052" s="1"/>
      <c r="C1052" s="1"/>
      <c r="H1052" s="1"/>
      <c r="I1052" s="1"/>
      <c r="J1052" s="1"/>
    </row>
    <row r="1053" spans="1:10" x14ac:dyDescent="0.2">
      <c r="A1053" s="1"/>
      <c r="B1053" s="1"/>
      <c r="C1053" s="1"/>
      <c r="H1053" s="1"/>
      <c r="I1053" s="1"/>
      <c r="J1053" s="1"/>
    </row>
    <row r="1054" spans="1:10" x14ac:dyDescent="0.2">
      <c r="A1054" s="1"/>
      <c r="B1054" s="1"/>
      <c r="C1054" s="1"/>
      <c r="H1054" s="1"/>
      <c r="I1054" s="1"/>
      <c r="J1054" s="1"/>
    </row>
    <row r="1055" spans="1:10" x14ac:dyDescent="0.2">
      <c r="A1055" s="1"/>
      <c r="B1055" s="1"/>
      <c r="C1055" s="1"/>
      <c r="H1055" s="1"/>
      <c r="I1055" s="1"/>
      <c r="J1055" s="1"/>
    </row>
    <row r="1056" spans="1:10" x14ac:dyDescent="0.2">
      <c r="A1056" s="1"/>
      <c r="B1056" s="1"/>
      <c r="C1056" s="1"/>
      <c r="H1056" s="1"/>
      <c r="I1056" s="1"/>
      <c r="J1056" s="1"/>
    </row>
    <row r="1057" spans="1:10" x14ac:dyDescent="0.2">
      <c r="A1057" s="1"/>
      <c r="B1057" s="1"/>
      <c r="C1057" s="1"/>
      <c r="H1057" s="1"/>
      <c r="I1057" s="1"/>
      <c r="J1057" s="1"/>
    </row>
    <row r="1058" spans="1:10" x14ac:dyDescent="0.2">
      <c r="A1058" s="1"/>
      <c r="B1058" s="1"/>
      <c r="C1058" s="1"/>
      <c r="H1058" s="1"/>
      <c r="I1058" s="1"/>
      <c r="J1058" s="1"/>
    </row>
    <row r="1059" spans="1:10" x14ac:dyDescent="0.2">
      <c r="A1059" s="1"/>
      <c r="B1059" s="1"/>
      <c r="C1059" s="1"/>
      <c r="H1059" s="1"/>
      <c r="I1059" s="1"/>
      <c r="J1059" s="1"/>
    </row>
    <row r="1060" spans="1:10" x14ac:dyDescent="0.2">
      <c r="A1060" s="1"/>
      <c r="B1060" s="1"/>
      <c r="C1060" s="1"/>
      <c r="H1060" s="1"/>
      <c r="I1060" s="1"/>
      <c r="J1060" s="1"/>
    </row>
    <row r="1061" spans="1:10" x14ac:dyDescent="0.2">
      <c r="A1061" s="1"/>
      <c r="B1061" s="1"/>
      <c r="C1061" s="1"/>
      <c r="H1061" s="1"/>
      <c r="I1061" s="1"/>
      <c r="J1061" s="1"/>
    </row>
    <row r="1062" spans="1:10" x14ac:dyDescent="0.2">
      <c r="A1062" s="1"/>
      <c r="B1062" s="1"/>
      <c r="C1062" s="1"/>
      <c r="H1062" s="1"/>
      <c r="I1062" s="1"/>
      <c r="J1062" s="1"/>
    </row>
    <row r="1063" spans="1:10" x14ac:dyDescent="0.2">
      <c r="A1063" s="1"/>
      <c r="B1063" s="1"/>
      <c r="C1063" s="1"/>
      <c r="H1063" s="1"/>
      <c r="I1063" s="1"/>
      <c r="J1063" s="1"/>
    </row>
    <row r="1064" spans="1:10" x14ac:dyDescent="0.2">
      <c r="A1064" s="1"/>
      <c r="B1064" s="1"/>
      <c r="C1064" s="1"/>
      <c r="H1064" s="1"/>
      <c r="I1064" s="1"/>
      <c r="J1064" s="1"/>
    </row>
    <row r="1065" spans="1:10" x14ac:dyDescent="0.2">
      <c r="A1065" s="1"/>
      <c r="B1065" s="1"/>
      <c r="C1065" s="1"/>
      <c r="H1065" s="1"/>
      <c r="I1065" s="1"/>
      <c r="J1065" s="1"/>
    </row>
    <row r="1066" spans="1:10" x14ac:dyDescent="0.2">
      <c r="A1066" s="1"/>
      <c r="B1066" s="1"/>
      <c r="C1066" s="1"/>
      <c r="H1066" s="1"/>
      <c r="I1066" s="1"/>
      <c r="J1066" s="1"/>
    </row>
    <row r="1067" spans="1:10" x14ac:dyDescent="0.2">
      <c r="A1067" s="1"/>
      <c r="B1067" s="1"/>
      <c r="C1067" s="1"/>
      <c r="H1067" s="1"/>
      <c r="I1067" s="1"/>
      <c r="J1067" s="1"/>
    </row>
    <row r="1068" spans="1:10" x14ac:dyDescent="0.2">
      <c r="A1068" s="1"/>
      <c r="B1068" s="1"/>
      <c r="C1068" s="1"/>
      <c r="H1068" s="1"/>
      <c r="I1068" s="1"/>
      <c r="J1068" s="1"/>
    </row>
    <row r="1069" spans="1:10" x14ac:dyDescent="0.2">
      <c r="A1069" s="1"/>
      <c r="B1069" s="1"/>
      <c r="C1069" s="1"/>
      <c r="H1069" s="1"/>
      <c r="I1069" s="1"/>
      <c r="J1069" s="1"/>
    </row>
    <row r="1070" spans="1:10" x14ac:dyDescent="0.2">
      <c r="A1070" s="1"/>
      <c r="B1070" s="1"/>
      <c r="C1070" s="1"/>
      <c r="H1070" s="1"/>
      <c r="I1070" s="1"/>
      <c r="J1070" s="1"/>
    </row>
    <row r="1071" spans="1:10" x14ac:dyDescent="0.2">
      <c r="A1071" s="1"/>
      <c r="B1071" s="1"/>
      <c r="C1071" s="1"/>
      <c r="H1071" s="1"/>
      <c r="I1071" s="1"/>
      <c r="J1071" s="1"/>
    </row>
    <row r="1072" spans="1:10" x14ac:dyDescent="0.2">
      <c r="A1072" s="1"/>
      <c r="B1072" s="1"/>
      <c r="C1072" s="1"/>
      <c r="H1072" s="1"/>
      <c r="I1072" s="1"/>
      <c r="J1072" s="1"/>
    </row>
    <row r="1073" spans="1:10" x14ac:dyDescent="0.2">
      <c r="A1073" s="1"/>
      <c r="B1073" s="1"/>
      <c r="C1073" s="1"/>
      <c r="H1073" s="1"/>
      <c r="I1073" s="1"/>
      <c r="J1073" s="1"/>
    </row>
    <row r="1074" spans="1:10" x14ac:dyDescent="0.2">
      <c r="A1074" s="1"/>
      <c r="B1074" s="1"/>
      <c r="C1074" s="1"/>
      <c r="H1074" s="1"/>
      <c r="I1074" s="1"/>
      <c r="J1074" s="1"/>
    </row>
    <row r="1075" spans="1:10" x14ac:dyDescent="0.2">
      <c r="A1075" s="1"/>
      <c r="B1075" s="1"/>
      <c r="C1075" s="1"/>
      <c r="H1075" s="1"/>
      <c r="I1075" s="1"/>
      <c r="J1075" s="1"/>
    </row>
    <row r="1076" spans="1:10" x14ac:dyDescent="0.2">
      <c r="A1076" s="1"/>
      <c r="B1076" s="1"/>
      <c r="C1076" s="1"/>
      <c r="H1076" s="1"/>
      <c r="I1076" s="1"/>
      <c r="J1076" s="1"/>
    </row>
    <row r="1077" spans="1:10" x14ac:dyDescent="0.2">
      <c r="A1077" s="1"/>
      <c r="B1077" s="1"/>
      <c r="C1077" s="1"/>
      <c r="H1077" s="1"/>
      <c r="I1077" s="1"/>
      <c r="J1077" s="1"/>
    </row>
    <row r="1078" spans="1:10" x14ac:dyDescent="0.2">
      <c r="A1078" s="1"/>
      <c r="B1078" s="1"/>
      <c r="C1078" s="1"/>
      <c r="H1078" s="1"/>
      <c r="I1078" s="1"/>
      <c r="J1078" s="1"/>
    </row>
    <row r="1079" spans="1:10" x14ac:dyDescent="0.2">
      <c r="A1079" s="1"/>
      <c r="B1079" s="1"/>
      <c r="C1079" s="1"/>
      <c r="H1079" s="1"/>
      <c r="I1079" s="1"/>
      <c r="J1079" s="1"/>
    </row>
    <row r="1080" spans="1:10" x14ac:dyDescent="0.2">
      <c r="A1080" s="1"/>
      <c r="B1080" s="1"/>
      <c r="C1080" s="1"/>
      <c r="H1080" s="1"/>
      <c r="I1080" s="1"/>
      <c r="J1080" s="1"/>
    </row>
    <row r="1081" spans="1:10" x14ac:dyDescent="0.2">
      <c r="A1081" s="1"/>
      <c r="B1081" s="1"/>
      <c r="C1081" s="1"/>
      <c r="H1081" s="1"/>
      <c r="I1081" s="1"/>
      <c r="J1081" s="1"/>
    </row>
    <row r="1082" spans="1:10" x14ac:dyDescent="0.2">
      <c r="A1082" s="1"/>
      <c r="B1082" s="1"/>
      <c r="C1082" s="1"/>
      <c r="H1082" s="1"/>
      <c r="I1082" s="1"/>
      <c r="J1082" s="1"/>
    </row>
    <row r="1083" spans="1:10" x14ac:dyDescent="0.2">
      <c r="A1083" s="1"/>
      <c r="B1083" s="1"/>
      <c r="C1083" s="1"/>
      <c r="H1083" s="1"/>
      <c r="I1083" s="1"/>
      <c r="J1083" s="1"/>
    </row>
    <row r="1084" spans="1:10" x14ac:dyDescent="0.2">
      <c r="A1084" s="1"/>
      <c r="B1084" s="1"/>
      <c r="C1084" s="1"/>
      <c r="H1084" s="1"/>
      <c r="I1084" s="1"/>
      <c r="J1084" s="1"/>
    </row>
    <row r="1085" spans="1:10" x14ac:dyDescent="0.2">
      <c r="A1085" s="1"/>
      <c r="B1085" s="1"/>
      <c r="C1085" s="1"/>
      <c r="H1085" s="1"/>
      <c r="I1085" s="1"/>
      <c r="J1085" s="1"/>
    </row>
    <row r="1086" spans="1:10" x14ac:dyDescent="0.2">
      <c r="A1086" s="1"/>
      <c r="B1086" s="1"/>
      <c r="C1086" s="1"/>
      <c r="H1086" s="1"/>
      <c r="I1086" s="1"/>
      <c r="J1086" s="1"/>
    </row>
    <row r="1087" spans="1:10" x14ac:dyDescent="0.2">
      <c r="A1087" s="1"/>
      <c r="B1087" s="1"/>
      <c r="C1087" s="1"/>
      <c r="H1087" s="1"/>
      <c r="I1087" s="1"/>
      <c r="J1087" s="1"/>
    </row>
    <row r="1088" spans="1:10" x14ac:dyDescent="0.2">
      <c r="A1088" s="1"/>
      <c r="B1088" s="1"/>
      <c r="C1088" s="1"/>
      <c r="H1088" s="1"/>
      <c r="I1088" s="1"/>
      <c r="J1088" s="1"/>
    </row>
    <row r="1089" spans="1:10" x14ac:dyDescent="0.2">
      <c r="A1089" s="1"/>
      <c r="B1089" s="1"/>
      <c r="C1089" s="1"/>
      <c r="H1089" s="1"/>
      <c r="I1089" s="1"/>
      <c r="J1089" s="1"/>
    </row>
    <row r="1090" spans="1:10" x14ac:dyDescent="0.2">
      <c r="A1090" s="1"/>
      <c r="B1090" s="1"/>
      <c r="C1090" s="1"/>
      <c r="H1090" s="1"/>
      <c r="I1090" s="1"/>
      <c r="J1090" s="1"/>
    </row>
    <row r="1091" spans="1:10" x14ac:dyDescent="0.2">
      <c r="A1091" s="1"/>
      <c r="B1091" s="1"/>
      <c r="C1091" s="1"/>
      <c r="H1091" s="1"/>
      <c r="I1091" s="1"/>
      <c r="J1091" s="1"/>
    </row>
    <row r="1092" spans="1:10" x14ac:dyDescent="0.2">
      <c r="A1092" s="1"/>
      <c r="B1092" s="1"/>
      <c r="C1092" s="1"/>
      <c r="H1092" s="1"/>
      <c r="I1092" s="1"/>
      <c r="J1092" s="1"/>
    </row>
    <row r="1093" spans="1:10" x14ac:dyDescent="0.2">
      <c r="A1093" s="1"/>
      <c r="B1093" s="1"/>
      <c r="C1093" s="1"/>
      <c r="H1093" s="1"/>
      <c r="I1093" s="1"/>
      <c r="J1093" s="1"/>
    </row>
    <row r="1094" spans="1:10" x14ac:dyDescent="0.2">
      <c r="A1094" s="1"/>
      <c r="B1094" s="1"/>
      <c r="C1094" s="1"/>
      <c r="H1094" s="1"/>
      <c r="I1094" s="1"/>
      <c r="J1094" s="1"/>
    </row>
    <row r="1095" spans="1:10" x14ac:dyDescent="0.2">
      <c r="A1095" s="1"/>
      <c r="B1095" s="1"/>
      <c r="C1095" s="1"/>
      <c r="H1095" s="1"/>
      <c r="I1095" s="1"/>
      <c r="J1095" s="1"/>
    </row>
    <row r="1096" spans="1:10" x14ac:dyDescent="0.2">
      <c r="A1096" s="1"/>
      <c r="B1096" s="1"/>
      <c r="C1096" s="1"/>
      <c r="H1096" s="1"/>
      <c r="I1096" s="1"/>
      <c r="J1096" s="1"/>
    </row>
    <row r="1097" spans="1:10" x14ac:dyDescent="0.2">
      <c r="A1097" s="1"/>
      <c r="B1097" s="1"/>
      <c r="C1097" s="1"/>
      <c r="H1097" s="1"/>
      <c r="I1097" s="1"/>
      <c r="J1097" s="1"/>
    </row>
    <row r="1098" spans="1:10" x14ac:dyDescent="0.2">
      <c r="A1098" s="1"/>
      <c r="B1098" s="1"/>
      <c r="C1098" s="1"/>
      <c r="H1098" s="1"/>
      <c r="I1098" s="1"/>
      <c r="J1098" s="1"/>
    </row>
    <row r="1099" spans="1:10" x14ac:dyDescent="0.2">
      <c r="A1099" s="1"/>
      <c r="B1099" s="1"/>
      <c r="C1099" s="1"/>
      <c r="H1099" s="1"/>
      <c r="I1099" s="1"/>
      <c r="J1099" s="1"/>
    </row>
    <row r="1100" spans="1:10" x14ac:dyDescent="0.2">
      <c r="A1100" s="1"/>
      <c r="B1100" s="1"/>
      <c r="C1100" s="1"/>
      <c r="H1100" s="1"/>
      <c r="I1100" s="1"/>
      <c r="J1100" s="1"/>
    </row>
    <row r="1101" spans="1:10" x14ac:dyDescent="0.2">
      <c r="A1101" s="1"/>
      <c r="B1101" s="1"/>
      <c r="C1101" s="1"/>
      <c r="H1101" s="1"/>
      <c r="I1101" s="1"/>
      <c r="J1101" s="1"/>
    </row>
    <row r="1102" spans="1:10" x14ac:dyDescent="0.2">
      <c r="A1102" s="1"/>
      <c r="B1102" s="1"/>
      <c r="C1102" s="1"/>
      <c r="H1102" s="1"/>
      <c r="I1102" s="1"/>
      <c r="J1102" s="1"/>
    </row>
    <row r="1103" spans="1:10" x14ac:dyDescent="0.2">
      <c r="A1103" s="1"/>
      <c r="B1103" s="1"/>
      <c r="C1103" s="1"/>
      <c r="H1103" s="1"/>
      <c r="I1103" s="1"/>
      <c r="J1103" s="1"/>
    </row>
    <row r="1104" spans="1:10" x14ac:dyDescent="0.2">
      <c r="A1104" s="1"/>
      <c r="B1104" s="1"/>
      <c r="C1104" s="1"/>
      <c r="H1104" s="1"/>
      <c r="I1104" s="1"/>
      <c r="J1104" s="1"/>
    </row>
    <row r="1105" spans="1:10" x14ac:dyDescent="0.2">
      <c r="A1105" s="1"/>
      <c r="B1105" s="1"/>
      <c r="C1105" s="1"/>
      <c r="H1105" s="1"/>
      <c r="I1105" s="1"/>
      <c r="J1105" s="1"/>
    </row>
    <row r="1106" spans="1:10" x14ac:dyDescent="0.2">
      <c r="A1106" s="1"/>
      <c r="B1106" s="1"/>
      <c r="C1106" s="1"/>
      <c r="H1106" s="1"/>
      <c r="I1106" s="1"/>
      <c r="J1106" s="1"/>
    </row>
    <row r="1107" spans="1:10" x14ac:dyDescent="0.2">
      <c r="A1107" s="1"/>
      <c r="B1107" s="1"/>
      <c r="C1107" s="1"/>
      <c r="H1107" s="1"/>
      <c r="I1107" s="1"/>
      <c r="J1107" s="1"/>
    </row>
    <row r="1108" spans="1:10" x14ac:dyDescent="0.2">
      <c r="A1108" s="1"/>
      <c r="B1108" s="1"/>
      <c r="C1108" s="1"/>
      <c r="H1108" s="1"/>
      <c r="I1108" s="1"/>
      <c r="J1108" s="1"/>
    </row>
    <row r="1109" spans="1:10" x14ac:dyDescent="0.2">
      <c r="A1109" s="1"/>
      <c r="B1109" s="1"/>
      <c r="C1109" s="1"/>
      <c r="H1109" s="1"/>
      <c r="I1109" s="1"/>
      <c r="J1109" s="1"/>
    </row>
    <row r="1110" spans="1:10" x14ac:dyDescent="0.2">
      <c r="A1110" s="1"/>
      <c r="B1110" s="1"/>
      <c r="C1110" s="1"/>
      <c r="H1110" s="1"/>
      <c r="I1110" s="1"/>
      <c r="J1110" s="1"/>
    </row>
    <row r="1111" spans="1:10" x14ac:dyDescent="0.2">
      <c r="A1111" s="1"/>
      <c r="B1111" s="1"/>
      <c r="C1111" s="1"/>
      <c r="H1111" s="1"/>
      <c r="I1111" s="1"/>
      <c r="J1111" s="1"/>
    </row>
    <row r="1112" spans="1:10" x14ac:dyDescent="0.2">
      <c r="A1112" s="1"/>
      <c r="B1112" s="1"/>
      <c r="C1112" s="1"/>
      <c r="H1112" s="1"/>
      <c r="I1112" s="1"/>
      <c r="J1112" s="1"/>
    </row>
    <row r="1113" spans="1:10" x14ac:dyDescent="0.2">
      <c r="A1113" s="1"/>
      <c r="B1113" s="1"/>
      <c r="C1113" s="1"/>
      <c r="H1113" s="1"/>
      <c r="I1113" s="1"/>
      <c r="J1113" s="1"/>
    </row>
    <row r="1114" spans="1:10" x14ac:dyDescent="0.2">
      <c r="A1114" s="1"/>
      <c r="B1114" s="1"/>
      <c r="C1114" s="1"/>
      <c r="H1114" s="1"/>
      <c r="I1114" s="1"/>
      <c r="J1114" s="1"/>
    </row>
    <row r="1115" spans="1:10" x14ac:dyDescent="0.2">
      <c r="A1115" s="1"/>
      <c r="B1115" s="1"/>
      <c r="C1115" s="1"/>
      <c r="H1115" s="1"/>
      <c r="I1115" s="1"/>
      <c r="J1115" s="1"/>
    </row>
    <row r="1116" spans="1:10" x14ac:dyDescent="0.2">
      <c r="A1116" s="1"/>
      <c r="B1116" s="1"/>
      <c r="C1116" s="1"/>
      <c r="H1116" s="1"/>
      <c r="I1116" s="1"/>
      <c r="J1116" s="1"/>
    </row>
    <row r="1117" spans="1:10" x14ac:dyDescent="0.2">
      <c r="A1117" s="1"/>
      <c r="B1117" s="1"/>
      <c r="C1117" s="1"/>
      <c r="H1117" s="1"/>
      <c r="I1117" s="1"/>
      <c r="J1117" s="1"/>
    </row>
    <row r="1118" spans="1:10" x14ac:dyDescent="0.2">
      <c r="A1118" s="1"/>
      <c r="B1118" s="1"/>
      <c r="C1118" s="1"/>
      <c r="H1118" s="1"/>
      <c r="I1118" s="1"/>
      <c r="J1118" s="1"/>
    </row>
    <row r="1119" spans="1:10" x14ac:dyDescent="0.2">
      <c r="A1119" s="1"/>
      <c r="B1119" s="1"/>
      <c r="C1119" s="1"/>
      <c r="H1119" s="1"/>
      <c r="I1119" s="1"/>
      <c r="J1119" s="1"/>
    </row>
    <row r="1120" spans="1:10" x14ac:dyDescent="0.2">
      <c r="A1120" s="1"/>
      <c r="B1120" s="1"/>
      <c r="C1120" s="1"/>
      <c r="H1120" s="1"/>
      <c r="I1120" s="1"/>
      <c r="J1120" s="1"/>
    </row>
    <row r="1121" spans="1:10" x14ac:dyDescent="0.2">
      <c r="A1121" s="1"/>
      <c r="B1121" s="1"/>
      <c r="C1121" s="1"/>
      <c r="H1121" s="1"/>
      <c r="I1121" s="1"/>
      <c r="J1121" s="1"/>
    </row>
    <row r="1122" spans="1:10" x14ac:dyDescent="0.2">
      <c r="A1122" s="1"/>
      <c r="B1122" s="1"/>
      <c r="C1122" s="1"/>
      <c r="H1122" s="1"/>
      <c r="I1122" s="1"/>
      <c r="J1122" s="1"/>
    </row>
    <row r="1123" spans="1:10" x14ac:dyDescent="0.2">
      <c r="A1123" s="1"/>
      <c r="B1123" s="1"/>
      <c r="C1123" s="1"/>
      <c r="H1123" s="1"/>
      <c r="I1123" s="1"/>
      <c r="J1123" s="1"/>
    </row>
    <row r="1124" spans="1:10" x14ac:dyDescent="0.2">
      <c r="A1124" s="1"/>
      <c r="B1124" s="1"/>
      <c r="C1124" s="1"/>
      <c r="H1124" s="1"/>
      <c r="I1124" s="1"/>
      <c r="J1124" s="1"/>
    </row>
    <row r="1125" spans="1:10" x14ac:dyDescent="0.2">
      <c r="A1125" s="1"/>
      <c r="B1125" s="1"/>
      <c r="C1125" s="1"/>
      <c r="H1125" s="1"/>
      <c r="I1125" s="1"/>
      <c r="J1125" s="1"/>
    </row>
    <row r="1126" spans="1:10" x14ac:dyDescent="0.2">
      <c r="A1126" s="1"/>
      <c r="B1126" s="1"/>
      <c r="C1126" s="1"/>
      <c r="H1126" s="1"/>
      <c r="I1126" s="1"/>
      <c r="J1126" s="1"/>
    </row>
    <row r="1127" spans="1:10" x14ac:dyDescent="0.2">
      <c r="A1127" s="1"/>
      <c r="B1127" s="1"/>
      <c r="C1127" s="1"/>
      <c r="H1127" s="1"/>
      <c r="I1127" s="1"/>
      <c r="J1127" s="1"/>
    </row>
    <row r="1128" spans="1:10" x14ac:dyDescent="0.2">
      <c r="A1128" s="1"/>
      <c r="B1128" s="1"/>
      <c r="C1128" s="1"/>
      <c r="H1128" s="1"/>
      <c r="I1128" s="1"/>
      <c r="J1128" s="1"/>
    </row>
    <row r="1129" spans="1:10" x14ac:dyDescent="0.2">
      <c r="A1129" s="1"/>
      <c r="B1129" s="1"/>
      <c r="C1129" s="1"/>
      <c r="H1129" s="1"/>
      <c r="I1129" s="1"/>
      <c r="J1129" s="1"/>
    </row>
    <row r="1130" spans="1:10" x14ac:dyDescent="0.2">
      <c r="A1130" s="1"/>
      <c r="B1130" s="1"/>
      <c r="C1130" s="1"/>
      <c r="H1130" s="1"/>
      <c r="I1130" s="1"/>
      <c r="J1130" s="1"/>
    </row>
    <row r="1131" spans="1:10" x14ac:dyDescent="0.2">
      <c r="A1131" s="1"/>
      <c r="B1131" s="1"/>
      <c r="C1131" s="1"/>
      <c r="H1131" s="1"/>
      <c r="I1131" s="1"/>
      <c r="J1131" s="1"/>
    </row>
    <row r="1132" spans="1:10" x14ac:dyDescent="0.2">
      <c r="A1132" s="1"/>
      <c r="B1132" s="1"/>
      <c r="C1132" s="1"/>
      <c r="H1132" s="1"/>
      <c r="I1132" s="1"/>
      <c r="J1132" s="1"/>
    </row>
    <row r="1133" spans="1:10" x14ac:dyDescent="0.2">
      <c r="A1133" s="1"/>
      <c r="B1133" s="1"/>
      <c r="C1133" s="1"/>
      <c r="H1133" s="1"/>
      <c r="I1133" s="1"/>
      <c r="J1133" s="1"/>
    </row>
    <row r="1134" spans="1:10" x14ac:dyDescent="0.2">
      <c r="A1134" s="1"/>
      <c r="B1134" s="1"/>
      <c r="C1134" s="1"/>
      <c r="H1134" s="1"/>
      <c r="I1134" s="1"/>
      <c r="J1134" s="1"/>
    </row>
    <row r="1135" spans="1:10" x14ac:dyDescent="0.2">
      <c r="A1135" s="1"/>
      <c r="B1135" s="1"/>
      <c r="C1135" s="1"/>
      <c r="H1135" s="1"/>
      <c r="I1135" s="1"/>
      <c r="J1135" s="1"/>
    </row>
    <row r="1136" spans="1:10" x14ac:dyDescent="0.2">
      <c r="A1136" s="1"/>
      <c r="B1136" s="1"/>
      <c r="C1136" s="1"/>
      <c r="H1136" s="1"/>
      <c r="I1136" s="1"/>
      <c r="J1136" s="1"/>
    </row>
    <row r="1137" spans="1:10" x14ac:dyDescent="0.2">
      <c r="A1137" s="1"/>
      <c r="B1137" s="1"/>
      <c r="C1137" s="1"/>
      <c r="H1137" s="1"/>
      <c r="I1137" s="1"/>
      <c r="J1137" s="1"/>
    </row>
    <row r="1138" spans="1:10" x14ac:dyDescent="0.2">
      <c r="A1138" s="1"/>
      <c r="B1138" s="1"/>
      <c r="C1138" s="1"/>
      <c r="H1138" s="1"/>
      <c r="I1138" s="1"/>
      <c r="J1138" s="1"/>
    </row>
    <row r="1139" spans="1:10" x14ac:dyDescent="0.2">
      <c r="A1139" s="1"/>
      <c r="B1139" s="1"/>
      <c r="C1139" s="1"/>
      <c r="H1139" s="1"/>
      <c r="I1139" s="1"/>
      <c r="J1139" s="1"/>
    </row>
    <row r="1140" spans="1:10" x14ac:dyDescent="0.2">
      <c r="A1140" s="1"/>
      <c r="B1140" s="1"/>
      <c r="C1140" s="1"/>
      <c r="H1140" s="1"/>
      <c r="I1140" s="1"/>
      <c r="J1140" s="1"/>
    </row>
    <row r="1141" spans="1:10" x14ac:dyDescent="0.2">
      <c r="A1141" s="1"/>
      <c r="B1141" s="1"/>
      <c r="C1141" s="1"/>
      <c r="H1141" s="1"/>
      <c r="I1141" s="1"/>
      <c r="J1141" s="1"/>
    </row>
    <row r="1142" spans="1:10" x14ac:dyDescent="0.2">
      <c r="A1142" s="1"/>
      <c r="B1142" s="1"/>
      <c r="C1142" s="1"/>
      <c r="H1142" s="1"/>
      <c r="I1142" s="1"/>
      <c r="J1142" s="1"/>
    </row>
    <row r="1143" spans="1:10" x14ac:dyDescent="0.2">
      <c r="A1143" s="1"/>
      <c r="B1143" s="1"/>
      <c r="C1143" s="1"/>
      <c r="H1143" s="1"/>
      <c r="I1143" s="1"/>
      <c r="J1143" s="1"/>
    </row>
    <row r="1144" spans="1:10" x14ac:dyDescent="0.2">
      <c r="A1144" s="1"/>
      <c r="B1144" s="1"/>
      <c r="C1144" s="1"/>
      <c r="H1144" s="1"/>
      <c r="I1144" s="1"/>
      <c r="J1144" s="1"/>
    </row>
    <row r="1145" spans="1:10" x14ac:dyDescent="0.2">
      <c r="A1145" s="1"/>
      <c r="B1145" s="1"/>
      <c r="C1145" s="1"/>
      <c r="H1145" s="1"/>
      <c r="I1145" s="1"/>
      <c r="J1145" s="1"/>
    </row>
    <row r="1146" spans="1:10" x14ac:dyDescent="0.2">
      <c r="A1146" s="1"/>
      <c r="B1146" s="1"/>
      <c r="C1146" s="1"/>
      <c r="H1146" s="1"/>
      <c r="I1146" s="1"/>
      <c r="J1146" s="1"/>
    </row>
    <row r="1147" spans="1:10" x14ac:dyDescent="0.2">
      <c r="A1147" s="1"/>
      <c r="B1147" s="1"/>
      <c r="C1147" s="1"/>
      <c r="H1147" s="1"/>
      <c r="I1147" s="1"/>
      <c r="J1147" s="1"/>
    </row>
    <row r="1148" spans="1:10" x14ac:dyDescent="0.2">
      <c r="A1148" s="1"/>
      <c r="B1148" s="1"/>
      <c r="C1148" s="1"/>
      <c r="H1148" s="1"/>
      <c r="I1148" s="1"/>
      <c r="J1148" s="1"/>
    </row>
    <row r="1149" spans="1:10" x14ac:dyDescent="0.2">
      <c r="A1149" s="1"/>
      <c r="B1149" s="1"/>
      <c r="C1149" s="1"/>
      <c r="H1149" s="1"/>
      <c r="I1149" s="1"/>
      <c r="J1149" s="1"/>
    </row>
    <row r="1150" spans="1:10" x14ac:dyDescent="0.2">
      <c r="A1150" s="1"/>
      <c r="B1150" s="1"/>
      <c r="C1150" s="1"/>
      <c r="H1150" s="1"/>
      <c r="I1150" s="1"/>
      <c r="J1150" s="1"/>
    </row>
    <row r="1151" spans="1:10" x14ac:dyDescent="0.2">
      <c r="A1151" s="1"/>
      <c r="B1151" s="1"/>
      <c r="C1151" s="1"/>
      <c r="H1151" s="1"/>
      <c r="I1151" s="1"/>
      <c r="J1151" s="1"/>
    </row>
    <row r="1152" spans="1:10" x14ac:dyDescent="0.2">
      <c r="A1152" s="1"/>
      <c r="B1152" s="1"/>
      <c r="C1152" s="1"/>
      <c r="H1152" s="1"/>
      <c r="I1152" s="1"/>
      <c r="J1152" s="1"/>
    </row>
    <row r="1153" spans="1:10" x14ac:dyDescent="0.2">
      <c r="A1153" s="1"/>
      <c r="B1153" s="1"/>
      <c r="C1153" s="1"/>
      <c r="H1153" s="1"/>
      <c r="I1153" s="1"/>
      <c r="J1153" s="1"/>
    </row>
    <row r="1154" spans="1:10" x14ac:dyDescent="0.2">
      <c r="A1154" s="1"/>
      <c r="B1154" s="1"/>
      <c r="C1154" s="1"/>
      <c r="H1154" s="1"/>
      <c r="I1154" s="1"/>
      <c r="J1154" s="1"/>
    </row>
    <row r="1155" spans="1:10" x14ac:dyDescent="0.2">
      <c r="A1155" s="1"/>
      <c r="B1155" s="1"/>
      <c r="C1155" s="1"/>
      <c r="H1155" s="1"/>
      <c r="I1155" s="1"/>
      <c r="J1155" s="1"/>
    </row>
    <row r="1156" spans="1:10" x14ac:dyDescent="0.2">
      <c r="A1156" s="1"/>
      <c r="B1156" s="1"/>
      <c r="C1156" s="1"/>
      <c r="H1156" s="1"/>
      <c r="I1156" s="1"/>
      <c r="J1156" s="1"/>
    </row>
    <row r="1157" spans="1:10" x14ac:dyDescent="0.2">
      <c r="A1157" s="1"/>
      <c r="B1157" s="1"/>
      <c r="C1157" s="1"/>
      <c r="H1157" s="1"/>
      <c r="I1157" s="1"/>
      <c r="J1157" s="1"/>
    </row>
    <row r="1158" spans="1:10" x14ac:dyDescent="0.2">
      <c r="A1158" s="1"/>
      <c r="B1158" s="1"/>
      <c r="C1158" s="1"/>
      <c r="H1158" s="1"/>
      <c r="I1158" s="1"/>
      <c r="J1158" s="1"/>
    </row>
    <row r="1159" spans="1:10" x14ac:dyDescent="0.2">
      <c r="A1159" s="1"/>
      <c r="B1159" s="1"/>
      <c r="C1159" s="1"/>
      <c r="H1159" s="1"/>
      <c r="I1159" s="1"/>
      <c r="J1159" s="1"/>
    </row>
    <row r="1160" spans="1:10" x14ac:dyDescent="0.2">
      <c r="A1160" s="1"/>
      <c r="B1160" s="1"/>
      <c r="C1160" s="1"/>
      <c r="H1160" s="1"/>
      <c r="I1160" s="1"/>
      <c r="J1160" s="1"/>
    </row>
    <row r="1161" spans="1:10" x14ac:dyDescent="0.2">
      <c r="A1161" s="1"/>
      <c r="B1161" s="1"/>
      <c r="C1161" s="1"/>
      <c r="H1161" s="1"/>
      <c r="I1161" s="1"/>
      <c r="J1161" s="1"/>
    </row>
    <row r="1162" spans="1:10" x14ac:dyDescent="0.2">
      <c r="A1162" s="1"/>
      <c r="B1162" s="1"/>
      <c r="C1162" s="1"/>
      <c r="H1162" s="1"/>
      <c r="I1162" s="1"/>
      <c r="J1162" s="1"/>
    </row>
    <row r="1163" spans="1:10" x14ac:dyDescent="0.2">
      <c r="A1163" s="1"/>
      <c r="B1163" s="1"/>
      <c r="C1163" s="1"/>
      <c r="H1163" s="1"/>
      <c r="I1163" s="1"/>
      <c r="J1163" s="1"/>
    </row>
    <row r="1164" spans="1:10" x14ac:dyDescent="0.2">
      <c r="A1164" s="1"/>
      <c r="B1164" s="1"/>
      <c r="C1164" s="1"/>
      <c r="H1164" s="1"/>
      <c r="I1164" s="1"/>
      <c r="J1164" s="1"/>
    </row>
    <row r="1165" spans="1:10" x14ac:dyDescent="0.2">
      <c r="A1165" s="1"/>
      <c r="B1165" s="1"/>
      <c r="C1165" s="1"/>
      <c r="H1165" s="1"/>
      <c r="I1165" s="1"/>
      <c r="J1165" s="1"/>
    </row>
    <row r="1166" spans="1:10" x14ac:dyDescent="0.2">
      <c r="A1166" s="1"/>
      <c r="B1166" s="1"/>
      <c r="C1166" s="1"/>
      <c r="H1166" s="1"/>
      <c r="I1166" s="1"/>
      <c r="J1166" s="1"/>
    </row>
    <row r="1167" spans="1:10" x14ac:dyDescent="0.2">
      <c r="A1167" s="1"/>
      <c r="B1167" s="1"/>
      <c r="C1167" s="1"/>
      <c r="H1167" s="1"/>
      <c r="I1167" s="1"/>
      <c r="J1167" s="1"/>
    </row>
    <row r="1168" spans="1:10" x14ac:dyDescent="0.2">
      <c r="A1168" s="1"/>
      <c r="B1168" s="1"/>
      <c r="C1168" s="1"/>
      <c r="H1168" s="1"/>
      <c r="I1168" s="1"/>
      <c r="J1168" s="1"/>
    </row>
    <row r="1169" spans="1:10" x14ac:dyDescent="0.2">
      <c r="A1169" s="1"/>
      <c r="B1169" s="1"/>
      <c r="C1169" s="1"/>
      <c r="H1169" s="1"/>
      <c r="I1169" s="1"/>
      <c r="J1169" s="1"/>
    </row>
    <row r="1170" spans="1:10" x14ac:dyDescent="0.2">
      <c r="A1170" s="1"/>
      <c r="B1170" s="1"/>
      <c r="C1170" s="1"/>
      <c r="H1170" s="1"/>
      <c r="I1170" s="1"/>
      <c r="J1170" s="1"/>
    </row>
    <row r="1171" spans="1:10" x14ac:dyDescent="0.2">
      <c r="A1171" s="1"/>
      <c r="B1171" s="1"/>
      <c r="C1171" s="1"/>
      <c r="H1171" s="1"/>
      <c r="I1171" s="1"/>
      <c r="J1171" s="1"/>
    </row>
    <row r="1172" spans="1:10" x14ac:dyDescent="0.2">
      <c r="A1172" s="1"/>
      <c r="B1172" s="1"/>
      <c r="C1172" s="1"/>
      <c r="H1172" s="1"/>
      <c r="I1172" s="1"/>
      <c r="J1172" s="1"/>
    </row>
    <row r="1173" spans="1:10" x14ac:dyDescent="0.2">
      <c r="A1173" s="1"/>
      <c r="B1173" s="1"/>
      <c r="C1173" s="1"/>
      <c r="H1173" s="1"/>
      <c r="I1173" s="1"/>
      <c r="J1173" s="1"/>
    </row>
    <row r="1174" spans="1:10" x14ac:dyDescent="0.2">
      <c r="A1174" s="1"/>
      <c r="B1174" s="1"/>
      <c r="C1174" s="1"/>
      <c r="H1174" s="1"/>
      <c r="I1174" s="1"/>
      <c r="J1174" s="1"/>
    </row>
    <row r="1175" spans="1:10" x14ac:dyDescent="0.2">
      <c r="A1175" s="1"/>
      <c r="B1175" s="1"/>
      <c r="C1175" s="1"/>
      <c r="H1175" s="1"/>
      <c r="I1175" s="1"/>
      <c r="J1175" s="1"/>
    </row>
    <row r="1176" spans="1:10" x14ac:dyDescent="0.2">
      <c r="A1176" s="1"/>
      <c r="B1176" s="1"/>
      <c r="C1176" s="1"/>
      <c r="H1176" s="1"/>
      <c r="I1176" s="1"/>
      <c r="J1176" s="1"/>
    </row>
    <row r="1177" spans="1:10" x14ac:dyDescent="0.2">
      <c r="A1177" s="1"/>
      <c r="B1177" s="1"/>
      <c r="C1177" s="1"/>
      <c r="H1177" s="1"/>
      <c r="I1177" s="1"/>
      <c r="J1177" s="1"/>
    </row>
    <row r="1178" spans="1:10" x14ac:dyDescent="0.2">
      <c r="A1178" s="1"/>
      <c r="B1178" s="1"/>
      <c r="C1178" s="1"/>
      <c r="H1178" s="1"/>
      <c r="I1178" s="1"/>
      <c r="J1178" s="1"/>
    </row>
    <row r="1179" spans="1:10" x14ac:dyDescent="0.2">
      <c r="A1179" s="1"/>
      <c r="B1179" s="1"/>
      <c r="C1179" s="1"/>
      <c r="H1179" s="1"/>
      <c r="I1179" s="1"/>
      <c r="J1179" s="1"/>
    </row>
    <row r="1180" spans="1:10" x14ac:dyDescent="0.2">
      <c r="A1180" s="1"/>
      <c r="B1180" s="1"/>
      <c r="C1180" s="1"/>
      <c r="H1180" s="1"/>
      <c r="I1180" s="1"/>
      <c r="J1180" s="1"/>
    </row>
    <row r="1181" spans="1:10" x14ac:dyDescent="0.2">
      <c r="A1181" s="1"/>
      <c r="B1181" s="1"/>
      <c r="C1181" s="1"/>
      <c r="H1181" s="1"/>
      <c r="I1181" s="1"/>
      <c r="J1181" s="1"/>
    </row>
    <row r="1182" spans="1:10" x14ac:dyDescent="0.2">
      <c r="A1182" s="1"/>
      <c r="B1182" s="1"/>
      <c r="C1182" s="1"/>
      <c r="H1182" s="1"/>
      <c r="I1182" s="1"/>
      <c r="J1182" s="1"/>
    </row>
    <row r="1183" spans="1:10" x14ac:dyDescent="0.2">
      <c r="A1183" s="1"/>
      <c r="B1183" s="1"/>
      <c r="C1183" s="1"/>
      <c r="H1183" s="1"/>
      <c r="I1183" s="1"/>
      <c r="J1183" s="1"/>
    </row>
    <row r="1184" spans="1:10" x14ac:dyDescent="0.2">
      <c r="A1184" s="1"/>
      <c r="B1184" s="1"/>
      <c r="C1184" s="1"/>
      <c r="H1184" s="1"/>
      <c r="I1184" s="1"/>
      <c r="J1184" s="1"/>
    </row>
    <row r="1185" spans="1:10" x14ac:dyDescent="0.2">
      <c r="A1185" s="1"/>
      <c r="B1185" s="1"/>
      <c r="C1185" s="1"/>
      <c r="H1185" s="1"/>
      <c r="I1185" s="1"/>
      <c r="J1185" s="1"/>
    </row>
    <row r="1186" spans="1:10" x14ac:dyDescent="0.2">
      <c r="A1186" s="1"/>
      <c r="B1186" s="1"/>
      <c r="C1186" s="1"/>
      <c r="H1186" s="1"/>
      <c r="I1186" s="1"/>
      <c r="J1186" s="1"/>
    </row>
    <row r="1187" spans="1:10" x14ac:dyDescent="0.2">
      <c r="A1187" s="1"/>
      <c r="B1187" s="1"/>
      <c r="C1187" s="1"/>
      <c r="H1187" s="1"/>
      <c r="I1187" s="1"/>
      <c r="J1187" s="1"/>
    </row>
    <row r="1188" spans="1:10" x14ac:dyDescent="0.2">
      <c r="A1188" s="1"/>
      <c r="B1188" s="1"/>
      <c r="C1188" s="1"/>
      <c r="H1188" s="1"/>
      <c r="I1188" s="1"/>
      <c r="J1188" s="1"/>
    </row>
    <row r="1189" spans="1:10" x14ac:dyDescent="0.2">
      <c r="A1189" s="1"/>
      <c r="B1189" s="1"/>
      <c r="C1189" s="1"/>
      <c r="H1189" s="1"/>
      <c r="I1189" s="1"/>
      <c r="J1189" s="1"/>
    </row>
    <row r="1190" spans="1:10" x14ac:dyDescent="0.2">
      <c r="A1190" s="1"/>
      <c r="B1190" s="1"/>
      <c r="C1190" s="1"/>
      <c r="H1190" s="1"/>
      <c r="I1190" s="1"/>
      <c r="J1190" s="1"/>
    </row>
    <row r="1191" spans="1:10" x14ac:dyDescent="0.2">
      <c r="A1191" s="1"/>
      <c r="B1191" s="1"/>
      <c r="C1191" s="1"/>
      <c r="H1191" s="1"/>
      <c r="I1191" s="1"/>
      <c r="J1191" s="1"/>
    </row>
    <row r="1192" spans="1:10" x14ac:dyDescent="0.2">
      <c r="A1192" s="1"/>
      <c r="B1192" s="1"/>
      <c r="C1192" s="1"/>
      <c r="H1192" s="1"/>
      <c r="I1192" s="1"/>
      <c r="J1192" s="1"/>
    </row>
    <row r="1193" spans="1:10" x14ac:dyDescent="0.2">
      <c r="A1193" s="1"/>
      <c r="B1193" s="1"/>
      <c r="C1193" s="1"/>
      <c r="H1193" s="1"/>
      <c r="I1193" s="1"/>
      <c r="J1193" s="1"/>
    </row>
    <row r="1194" spans="1:10" x14ac:dyDescent="0.2">
      <c r="A1194" s="1"/>
      <c r="B1194" s="1"/>
      <c r="C1194" s="1"/>
      <c r="H1194" s="1"/>
      <c r="I1194" s="1"/>
      <c r="J1194" s="1"/>
    </row>
    <row r="1195" spans="1:10" x14ac:dyDescent="0.2">
      <c r="A1195" s="1"/>
      <c r="B1195" s="1"/>
      <c r="C1195" s="1"/>
      <c r="H1195" s="1"/>
      <c r="I1195" s="1"/>
      <c r="J1195" s="1"/>
    </row>
    <row r="1196" spans="1:10" x14ac:dyDescent="0.2">
      <c r="A1196" s="1"/>
      <c r="B1196" s="1"/>
      <c r="C1196" s="1"/>
      <c r="H1196" s="1"/>
      <c r="I1196" s="1"/>
      <c r="J1196" s="1"/>
    </row>
    <row r="1197" spans="1:10" x14ac:dyDescent="0.2">
      <c r="A1197" s="1"/>
      <c r="B1197" s="1"/>
      <c r="C1197" s="1"/>
      <c r="H1197" s="1"/>
      <c r="I1197" s="1"/>
      <c r="J1197" s="1"/>
    </row>
    <row r="1198" spans="1:10" x14ac:dyDescent="0.2">
      <c r="A1198" s="1"/>
      <c r="B1198" s="1"/>
      <c r="C1198" s="1"/>
      <c r="H1198" s="1"/>
      <c r="I1198" s="1"/>
      <c r="J1198" s="1"/>
    </row>
    <row r="1199" spans="1:10" x14ac:dyDescent="0.2">
      <c r="A1199" s="1"/>
      <c r="B1199" s="1"/>
      <c r="C1199" s="1"/>
      <c r="H1199" s="1"/>
      <c r="I1199" s="1"/>
      <c r="J1199" s="1"/>
    </row>
    <row r="1200" spans="1:10" x14ac:dyDescent="0.2">
      <c r="A1200" s="1"/>
      <c r="B1200" s="1"/>
      <c r="C1200" s="1"/>
      <c r="H1200" s="1"/>
      <c r="I1200" s="1"/>
      <c r="J1200" s="1"/>
    </row>
    <row r="1201" spans="1:10" x14ac:dyDescent="0.2">
      <c r="A1201" s="1"/>
      <c r="B1201" s="1"/>
      <c r="C1201" s="1"/>
      <c r="H1201" s="1"/>
      <c r="I1201" s="1"/>
      <c r="J1201" s="1"/>
    </row>
    <row r="1202" spans="1:10" x14ac:dyDescent="0.2">
      <c r="A1202" s="1"/>
      <c r="B1202" s="1"/>
      <c r="C1202" s="1"/>
      <c r="H1202" s="1"/>
      <c r="I1202" s="1"/>
      <c r="J1202" s="1"/>
    </row>
    <row r="1203" spans="1:10" x14ac:dyDescent="0.2">
      <c r="A1203" s="1"/>
      <c r="B1203" s="1"/>
      <c r="C1203" s="1"/>
      <c r="H1203" s="1"/>
      <c r="I1203" s="1"/>
      <c r="J1203" s="1"/>
    </row>
    <row r="1204" spans="1:10" x14ac:dyDescent="0.2">
      <c r="A1204" s="1"/>
      <c r="B1204" s="1"/>
      <c r="C1204" s="1"/>
      <c r="H1204" s="1"/>
      <c r="I1204" s="1"/>
      <c r="J1204" s="1"/>
    </row>
    <row r="1205" spans="1:10" x14ac:dyDescent="0.2">
      <c r="A1205" s="1"/>
      <c r="B1205" s="1"/>
      <c r="C1205" s="1"/>
      <c r="H1205" s="1"/>
      <c r="I1205" s="1"/>
      <c r="J1205" s="1"/>
    </row>
    <row r="1206" spans="1:10" x14ac:dyDescent="0.2">
      <c r="A1206" s="1"/>
      <c r="B1206" s="1"/>
      <c r="C1206" s="1"/>
      <c r="H1206" s="1"/>
      <c r="I1206" s="1"/>
      <c r="J1206" s="1"/>
    </row>
    <row r="1207" spans="1:10" x14ac:dyDescent="0.2">
      <c r="A1207" s="1"/>
      <c r="B1207" s="1"/>
      <c r="C1207" s="1"/>
      <c r="H1207" s="1"/>
      <c r="I1207" s="1"/>
      <c r="J1207" s="1"/>
    </row>
    <row r="1208" spans="1:10" x14ac:dyDescent="0.2">
      <c r="A1208" s="1"/>
      <c r="B1208" s="1"/>
      <c r="C1208" s="1"/>
      <c r="H1208" s="1"/>
      <c r="I1208" s="1"/>
      <c r="J1208" s="1"/>
    </row>
    <row r="1209" spans="1:10" x14ac:dyDescent="0.2">
      <c r="A1209" s="1"/>
      <c r="B1209" s="1"/>
      <c r="C1209" s="1"/>
      <c r="H1209" s="1"/>
      <c r="I1209" s="1"/>
      <c r="J1209" s="1"/>
    </row>
    <row r="1210" spans="1:10" x14ac:dyDescent="0.2">
      <c r="A1210" s="1"/>
      <c r="B1210" s="1"/>
      <c r="C1210" s="1"/>
      <c r="H1210" s="1"/>
      <c r="I1210" s="1"/>
      <c r="J1210" s="1"/>
    </row>
    <row r="1211" spans="1:10" x14ac:dyDescent="0.2">
      <c r="A1211" s="1"/>
      <c r="B1211" s="1"/>
      <c r="C1211" s="1"/>
      <c r="H1211" s="1"/>
      <c r="I1211" s="1"/>
      <c r="J1211" s="1"/>
    </row>
    <row r="1212" spans="1:10" x14ac:dyDescent="0.2">
      <c r="A1212" s="1"/>
      <c r="B1212" s="1"/>
      <c r="C1212" s="1"/>
      <c r="H1212" s="1"/>
      <c r="I1212" s="1"/>
      <c r="J1212" s="1"/>
    </row>
    <row r="1213" spans="1:10" x14ac:dyDescent="0.2">
      <c r="A1213" s="1"/>
      <c r="B1213" s="1"/>
      <c r="C1213" s="1"/>
      <c r="H1213" s="1"/>
      <c r="I1213" s="1"/>
      <c r="J1213" s="1"/>
    </row>
    <row r="1214" spans="1:10" x14ac:dyDescent="0.2">
      <c r="A1214" s="1"/>
      <c r="B1214" s="1"/>
      <c r="C1214" s="1"/>
      <c r="H1214" s="1"/>
      <c r="I1214" s="1"/>
      <c r="J1214" s="1"/>
    </row>
    <row r="1215" spans="1:10" x14ac:dyDescent="0.2">
      <c r="A1215" s="1"/>
      <c r="B1215" s="1"/>
      <c r="C1215" s="1"/>
      <c r="H1215" s="1"/>
      <c r="I1215" s="1"/>
      <c r="J1215" s="1"/>
    </row>
    <row r="1216" spans="1:10" x14ac:dyDescent="0.2">
      <c r="A1216" s="1"/>
      <c r="B1216" s="1"/>
      <c r="C1216" s="1"/>
      <c r="H1216" s="1"/>
      <c r="I1216" s="1"/>
      <c r="J1216" s="1"/>
    </row>
    <row r="1217" spans="1:10" x14ac:dyDescent="0.2">
      <c r="A1217" s="1"/>
      <c r="B1217" s="1"/>
      <c r="C1217" s="1"/>
      <c r="H1217" s="1"/>
      <c r="I1217" s="1"/>
      <c r="J1217" s="1"/>
    </row>
    <row r="1218" spans="1:10" x14ac:dyDescent="0.2">
      <c r="A1218" s="1"/>
      <c r="B1218" s="1"/>
      <c r="C1218" s="1"/>
      <c r="H1218" s="1"/>
      <c r="I1218" s="1"/>
      <c r="J1218" s="1"/>
    </row>
    <row r="1219" spans="1:10" x14ac:dyDescent="0.2">
      <c r="A1219" s="1"/>
      <c r="B1219" s="1"/>
      <c r="C1219" s="1"/>
      <c r="H1219" s="1"/>
      <c r="I1219" s="1"/>
      <c r="J1219" s="1"/>
    </row>
    <row r="1220" spans="1:10" x14ac:dyDescent="0.2">
      <c r="A1220" s="1"/>
      <c r="B1220" s="1"/>
      <c r="C1220" s="1"/>
      <c r="H1220" s="1"/>
      <c r="I1220" s="1"/>
      <c r="J1220" s="1"/>
    </row>
    <row r="1221" spans="1:10" x14ac:dyDescent="0.2">
      <c r="A1221" s="1"/>
      <c r="B1221" s="1"/>
      <c r="C1221" s="1"/>
      <c r="H1221" s="1"/>
      <c r="I1221" s="1"/>
      <c r="J1221" s="1"/>
    </row>
    <row r="1222" spans="1:10" x14ac:dyDescent="0.2">
      <c r="A1222" s="1"/>
      <c r="B1222" s="1"/>
      <c r="C1222" s="1"/>
      <c r="H1222" s="1"/>
      <c r="I1222" s="1"/>
      <c r="J1222" s="1"/>
    </row>
    <row r="1223" spans="1:10" x14ac:dyDescent="0.2">
      <c r="A1223" s="1"/>
      <c r="B1223" s="1"/>
      <c r="C1223" s="1"/>
      <c r="H1223" s="1"/>
      <c r="I1223" s="1"/>
      <c r="J1223" s="1"/>
    </row>
    <row r="1224" spans="1:10" x14ac:dyDescent="0.2">
      <c r="A1224" s="1"/>
      <c r="B1224" s="1"/>
      <c r="C1224" s="1"/>
      <c r="H1224" s="1"/>
      <c r="I1224" s="1"/>
      <c r="J1224" s="1"/>
    </row>
    <row r="1225" spans="1:10" x14ac:dyDescent="0.2">
      <c r="A1225" s="1"/>
      <c r="B1225" s="1"/>
      <c r="C1225" s="1"/>
      <c r="H1225" s="1"/>
      <c r="I1225" s="1"/>
      <c r="J1225" s="1"/>
    </row>
    <row r="1226" spans="1:10" x14ac:dyDescent="0.2">
      <c r="A1226" s="1"/>
      <c r="B1226" s="1"/>
      <c r="C1226" s="1"/>
      <c r="H1226" s="1"/>
      <c r="I1226" s="1"/>
      <c r="J1226" s="1"/>
    </row>
    <row r="1227" spans="1:10" x14ac:dyDescent="0.2">
      <c r="A1227" s="1"/>
      <c r="B1227" s="1"/>
      <c r="C1227" s="1"/>
      <c r="H1227" s="1"/>
      <c r="I1227" s="1"/>
      <c r="J1227" s="1"/>
    </row>
    <row r="1228" spans="1:10" x14ac:dyDescent="0.2">
      <c r="A1228" s="1"/>
      <c r="B1228" s="1"/>
      <c r="C1228" s="1"/>
      <c r="H1228" s="1"/>
      <c r="I1228" s="1"/>
      <c r="J1228" s="1"/>
    </row>
    <row r="1229" spans="1:10" x14ac:dyDescent="0.2">
      <c r="A1229" s="1"/>
      <c r="B1229" s="1"/>
      <c r="C1229" s="1"/>
      <c r="H1229" s="1"/>
      <c r="I1229" s="1"/>
      <c r="J1229" s="1"/>
    </row>
    <row r="1230" spans="1:10" x14ac:dyDescent="0.2">
      <c r="A1230" s="1"/>
      <c r="B1230" s="1"/>
      <c r="C1230" s="1"/>
      <c r="H1230" s="1"/>
      <c r="I1230" s="1"/>
      <c r="J1230" s="1"/>
    </row>
    <row r="1231" spans="1:10" x14ac:dyDescent="0.2">
      <c r="A1231" s="1"/>
      <c r="B1231" s="1"/>
      <c r="C1231" s="1"/>
      <c r="H1231" s="1"/>
      <c r="I1231" s="1"/>
      <c r="J1231" s="1"/>
    </row>
    <row r="1232" spans="1:10" x14ac:dyDescent="0.2">
      <c r="A1232" s="1"/>
      <c r="B1232" s="1"/>
      <c r="C1232" s="1"/>
      <c r="H1232" s="1"/>
      <c r="I1232" s="1"/>
      <c r="J1232" s="1"/>
    </row>
    <row r="1233" spans="1:10" x14ac:dyDescent="0.2">
      <c r="A1233" s="1"/>
      <c r="B1233" s="1"/>
      <c r="C1233" s="1"/>
      <c r="H1233" s="1"/>
      <c r="I1233" s="1"/>
      <c r="J1233" s="1"/>
    </row>
    <row r="1234" spans="1:10" x14ac:dyDescent="0.2">
      <c r="A1234" s="1"/>
      <c r="B1234" s="1"/>
      <c r="C1234" s="1"/>
      <c r="H1234" s="1"/>
      <c r="I1234" s="1"/>
      <c r="J1234" s="1"/>
    </row>
    <row r="1235" spans="1:10" x14ac:dyDescent="0.2">
      <c r="A1235" s="1"/>
      <c r="B1235" s="1"/>
      <c r="C1235" s="1"/>
      <c r="H1235" s="1"/>
      <c r="I1235" s="1"/>
      <c r="J1235" s="1"/>
    </row>
    <row r="1236" spans="1:10" x14ac:dyDescent="0.2">
      <c r="A1236" s="1"/>
      <c r="B1236" s="1"/>
      <c r="C1236" s="1"/>
      <c r="H1236" s="1"/>
      <c r="I1236" s="1"/>
      <c r="J1236" s="1"/>
    </row>
    <row r="1237" spans="1:10" x14ac:dyDescent="0.2">
      <c r="A1237" s="1"/>
      <c r="B1237" s="1"/>
      <c r="C1237" s="1"/>
      <c r="H1237" s="1"/>
      <c r="I1237" s="1"/>
      <c r="J1237" s="1"/>
    </row>
    <row r="1238" spans="1:10" x14ac:dyDescent="0.2">
      <c r="A1238" s="1"/>
      <c r="B1238" s="1"/>
      <c r="C1238" s="1"/>
      <c r="H1238" s="1"/>
      <c r="I1238" s="1"/>
      <c r="J1238" s="1"/>
    </row>
    <row r="1239" spans="1:10" x14ac:dyDescent="0.2">
      <c r="A1239" s="1"/>
      <c r="B1239" s="1"/>
      <c r="C1239" s="1"/>
      <c r="H1239" s="1"/>
      <c r="I1239" s="1"/>
      <c r="J1239" s="1"/>
    </row>
    <row r="1240" spans="1:10" x14ac:dyDescent="0.2">
      <c r="A1240" s="1"/>
      <c r="B1240" s="1"/>
      <c r="C1240" s="1"/>
      <c r="H1240" s="1"/>
      <c r="I1240" s="1"/>
      <c r="J1240" s="1"/>
    </row>
    <row r="1241" spans="1:10" x14ac:dyDescent="0.2">
      <c r="A1241" s="1"/>
      <c r="B1241" s="1"/>
      <c r="C1241" s="1"/>
      <c r="H1241" s="1"/>
      <c r="I1241" s="1"/>
      <c r="J1241" s="1"/>
    </row>
    <row r="1242" spans="1:10" x14ac:dyDescent="0.2">
      <c r="A1242" s="1"/>
      <c r="B1242" s="1"/>
      <c r="C1242" s="1"/>
      <c r="H1242" s="1"/>
      <c r="I1242" s="1"/>
      <c r="J1242" s="1"/>
    </row>
    <row r="1243" spans="1:10" x14ac:dyDescent="0.2">
      <c r="A1243" s="1"/>
      <c r="B1243" s="1"/>
      <c r="C1243" s="1"/>
      <c r="H1243" s="1"/>
      <c r="I1243" s="1"/>
      <c r="J1243" s="1"/>
    </row>
    <row r="1244" spans="1:10" x14ac:dyDescent="0.2">
      <c r="A1244" s="1"/>
      <c r="B1244" s="1"/>
      <c r="C1244" s="1"/>
      <c r="H1244" s="1"/>
      <c r="I1244" s="1"/>
      <c r="J1244" s="1"/>
    </row>
    <row r="1245" spans="1:10" x14ac:dyDescent="0.2">
      <c r="A1245" s="1"/>
      <c r="B1245" s="1"/>
      <c r="C1245" s="1"/>
      <c r="H1245" s="1"/>
      <c r="I1245" s="1"/>
      <c r="J1245" s="1"/>
    </row>
    <row r="1246" spans="1:10" x14ac:dyDescent="0.2">
      <c r="A1246" s="1"/>
      <c r="B1246" s="1"/>
      <c r="C1246" s="1"/>
      <c r="H1246" s="1"/>
      <c r="I1246" s="1"/>
      <c r="J1246" s="1"/>
    </row>
    <row r="1247" spans="1:10" x14ac:dyDescent="0.2">
      <c r="A1247" s="1"/>
      <c r="B1247" s="1"/>
      <c r="C1247" s="1"/>
      <c r="H1247" s="1"/>
      <c r="I1247" s="1"/>
      <c r="J1247" s="1"/>
    </row>
    <row r="1248" spans="1:10" x14ac:dyDescent="0.2">
      <c r="A1248" s="1"/>
      <c r="B1248" s="1"/>
      <c r="C1248" s="1"/>
      <c r="H1248" s="1"/>
      <c r="I1248" s="1"/>
      <c r="J1248" s="1"/>
    </row>
    <row r="1249" spans="1:10" x14ac:dyDescent="0.2">
      <c r="A1249" s="1"/>
      <c r="B1249" s="1"/>
      <c r="C1249" s="1"/>
      <c r="H1249" s="1"/>
      <c r="I1249" s="1"/>
      <c r="J1249" s="1"/>
    </row>
    <row r="1250" spans="1:10" x14ac:dyDescent="0.2">
      <c r="A1250" s="1"/>
      <c r="B1250" s="1"/>
      <c r="C1250" s="1"/>
      <c r="H1250" s="1"/>
      <c r="I1250" s="1"/>
      <c r="J1250" s="1"/>
    </row>
    <row r="1251" spans="1:10" x14ac:dyDescent="0.2">
      <c r="A1251" s="1"/>
      <c r="B1251" s="1"/>
      <c r="C1251" s="1"/>
      <c r="H1251" s="1"/>
      <c r="I1251" s="1"/>
      <c r="J1251" s="1"/>
    </row>
    <row r="1252" spans="1:10" x14ac:dyDescent="0.2">
      <c r="A1252" s="1"/>
      <c r="B1252" s="1"/>
      <c r="C1252" s="1"/>
      <c r="H1252" s="1"/>
      <c r="I1252" s="1"/>
      <c r="J1252" s="1"/>
    </row>
    <row r="1253" spans="1:10" x14ac:dyDescent="0.2">
      <c r="A1253" s="1"/>
      <c r="B1253" s="1"/>
      <c r="C1253" s="1"/>
      <c r="H1253" s="1"/>
      <c r="I1253" s="1"/>
      <c r="J1253" s="1"/>
    </row>
    <row r="1254" spans="1:10" x14ac:dyDescent="0.2">
      <c r="A1254" s="1"/>
      <c r="B1254" s="1"/>
      <c r="C1254" s="1"/>
      <c r="H1254" s="1"/>
      <c r="I1254" s="1"/>
      <c r="J1254" s="1"/>
    </row>
    <row r="1255" spans="1:10" x14ac:dyDescent="0.2">
      <c r="A1255" s="1"/>
      <c r="B1255" s="1"/>
      <c r="C1255" s="1"/>
      <c r="H1255" s="1"/>
      <c r="I1255" s="1"/>
      <c r="J1255" s="1"/>
    </row>
    <row r="1256" spans="1:10" x14ac:dyDescent="0.2">
      <c r="A1256" s="1"/>
      <c r="B1256" s="1"/>
      <c r="C1256" s="1"/>
      <c r="H1256" s="1"/>
      <c r="I1256" s="1"/>
      <c r="J1256" s="1"/>
    </row>
    <row r="1257" spans="1:10" x14ac:dyDescent="0.2">
      <c r="A1257" s="1"/>
      <c r="B1257" s="1"/>
      <c r="C1257" s="1"/>
      <c r="H1257" s="1"/>
      <c r="I1257" s="1"/>
      <c r="J1257" s="1"/>
    </row>
    <row r="1258" spans="1:10" x14ac:dyDescent="0.2">
      <c r="A1258" s="1"/>
      <c r="B1258" s="1"/>
      <c r="C1258" s="1"/>
      <c r="H1258" s="1"/>
      <c r="I1258" s="1"/>
      <c r="J1258" s="1"/>
    </row>
    <row r="1259" spans="1:10" x14ac:dyDescent="0.2">
      <c r="A1259" s="1"/>
      <c r="B1259" s="1"/>
      <c r="C1259" s="1"/>
      <c r="H1259" s="1"/>
      <c r="I1259" s="1"/>
      <c r="J1259" s="1"/>
    </row>
    <row r="1260" spans="1:10" x14ac:dyDescent="0.2">
      <c r="A1260" s="1"/>
      <c r="B1260" s="1"/>
      <c r="C1260" s="1"/>
      <c r="H1260" s="1"/>
      <c r="I1260" s="1"/>
      <c r="J1260" s="1"/>
    </row>
    <row r="1261" spans="1:10" x14ac:dyDescent="0.2">
      <c r="A1261" s="1"/>
      <c r="B1261" s="1"/>
      <c r="C1261" s="1"/>
      <c r="H1261" s="1"/>
      <c r="I1261" s="1"/>
      <c r="J1261" s="1"/>
    </row>
    <row r="1262" spans="1:10" x14ac:dyDescent="0.2">
      <c r="A1262" s="1"/>
      <c r="B1262" s="1"/>
      <c r="C1262" s="1"/>
      <c r="H1262" s="1"/>
      <c r="I1262" s="1"/>
      <c r="J1262" s="1"/>
    </row>
    <row r="1263" spans="1:10" x14ac:dyDescent="0.2">
      <c r="A1263" s="1"/>
      <c r="B1263" s="1"/>
      <c r="C1263" s="1"/>
      <c r="H1263" s="1"/>
      <c r="I1263" s="1"/>
      <c r="J1263" s="1"/>
    </row>
    <row r="1264" spans="1:10" x14ac:dyDescent="0.2">
      <c r="A1264" s="1"/>
      <c r="B1264" s="1"/>
      <c r="C1264" s="1"/>
      <c r="H1264" s="1"/>
      <c r="I1264" s="1"/>
      <c r="J1264" s="1"/>
    </row>
    <row r="1265" spans="1:10" x14ac:dyDescent="0.2">
      <c r="A1265" s="1"/>
      <c r="B1265" s="1"/>
      <c r="C1265" s="1"/>
      <c r="H1265" s="1"/>
      <c r="I1265" s="1"/>
      <c r="J1265" s="1"/>
    </row>
    <row r="1266" spans="1:10" x14ac:dyDescent="0.2">
      <c r="A1266" s="1"/>
      <c r="B1266" s="1"/>
      <c r="C1266" s="1"/>
      <c r="H1266" s="1"/>
      <c r="I1266" s="1"/>
      <c r="J1266" s="1"/>
    </row>
    <row r="1267" spans="1:10" x14ac:dyDescent="0.2">
      <c r="A1267" s="1"/>
      <c r="B1267" s="1"/>
      <c r="C1267" s="1"/>
      <c r="H1267" s="1"/>
      <c r="I1267" s="1"/>
      <c r="J1267" s="1"/>
    </row>
    <row r="1268" spans="1:10" x14ac:dyDescent="0.2">
      <c r="A1268" s="1"/>
      <c r="B1268" s="1"/>
      <c r="C1268" s="1"/>
      <c r="H1268" s="1"/>
      <c r="I1268" s="1"/>
      <c r="J1268" s="1"/>
    </row>
    <row r="1269" spans="1:10" x14ac:dyDescent="0.2">
      <c r="A1269" s="1"/>
      <c r="B1269" s="1"/>
      <c r="C1269" s="1"/>
      <c r="H1269" s="1"/>
      <c r="I1269" s="1"/>
      <c r="J1269" s="1"/>
    </row>
    <row r="1270" spans="1:10" x14ac:dyDescent="0.2">
      <c r="A1270" s="1"/>
      <c r="B1270" s="1"/>
      <c r="C1270" s="1"/>
      <c r="H1270" s="1"/>
      <c r="I1270" s="1"/>
      <c r="J1270" s="1"/>
    </row>
    <row r="1271" spans="1:10" x14ac:dyDescent="0.2">
      <c r="A1271" s="1"/>
      <c r="B1271" s="1"/>
      <c r="C1271" s="1"/>
      <c r="H1271" s="1"/>
      <c r="I1271" s="1"/>
      <c r="J1271" s="1"/>
    </row>
    <row r="1272" spans="1:10" x14ac:dyDescent="0.2">
      <c r="A1272" s="1"/>
      <c r="B1272" s="1"/>
      <c r="C1272" s="1"/>
      <c r="H1272" s="1"/>
      <c r="I1272" s="1"/>
      <c r="J1272" s="1"/>
    </row>
    <row r="1273" spans="1:10" x14ac:dyDescent="0.2">
      <c r="A1273" s="1"/>
      <c r="B1273" s="1"/>
      <c r="C1273" s="1"/>
      <c r="H1273" s="1"/>
      <c r="I1273" s="1"/>
      <c r="J1273" s="1"/>
    </row>
    <row r="1274" spans="1:10" x14ac:dyDescent="0.2">
      <c r="A1274" s="1"/>
      <c r="B1274" s="1"/>
      <c r="C1274" s="1"/>
      <c r="H1274" s="1"/>
      <c r="I1274" s="1"/>
      <c r="J1274" s="1"/>
    </row>
    <row r="1275" spans="1:10" x14ac:dyDescent="0.2">
      <c r="A1275" s="1"/>
      <c r="B1275" s="1"/>
      <c r="C1275" s="1"/>
      <c r="H1275" s="1"/>
      <c r="I1275" s="1"/>
      <c r="J1275" s="1"/>
    </row>
    <row r="1276" spans="1:10" x14ac:dyDescent="0.2">
      <c r="A1276" s="1"/>
      <c r="B1276" s="1"/>
      <c r="C1276" s="1"/>
      <c r="H1276" s="1"/>
      <c r="I1276" s="1"/>
      <c r="J1276" s="1"/>
    </row>
    <row r="1277" spans="1:10" x14ac:dyDescent="0.2">
      <c r="A1277" s="1"/>
      <c r="B1277" s="1"/>
      <c r="C1277" s="1"/>
      <c r="H1277" s="1"/>
      <c r="I1277" s="1"/>
      <c r="J1277" s="1"/>
    </row>
    <row r="1278" spans="1:10" x14ac:dyDescent="0.2">
      <c r="A1278" s="1"/>
      <c r="B1278" s="1"/>
      <c r="C1278" s="1"/>
      <c r="H1278" s="1"/>
      <c r="I1278" s="1"/>
      <c r="J1278" s="1"/>
    </row>
    <row r="1279" spans="1:10" x14ac:dyDescent="0.2">
      <c r="A1279" s="1"/>
      <c r="B1279" s="1"/>
      <c r="C1279" s="1"/>
      <c r="H1279" s="1"/>
      <c r="I1279" s="1"/>
      <c r="J1279" s="1"/>
    </row>
    <row r="1280" spans="1:10" x14ac:dyDescent="0.2">
      <c r="A1280" s="1"/>
      <c r="B1280" s="1"/>
      <c r="C1280" s="1"/>
      <c r="H1280" s="1"/>
      <c r="I1280" s="1"/>
      <c r="J1280" s="1"/>
    </row>
    <row r="1281" spans="1:10" x14ac:dyDescent="0.2">
      <c r="A1281" s="1"/>
      <c r="B1281" s="1"/>
      <c r="C1281" s="1"/>
      <c r="H1281" s="1"/>
      <c r="I1281" s="1"/>
      <c r="J1281" s="1"/>
    </row>
    <row r="1282" spans="1:10" x14ac:dyDescent="0.2">
      <c r="A1282" s="1"/>
      <c r="B1282" s="1"/>
      <c r="C1282" s="1"/>
      <c r="H1282" s="1"/>
      <c r="I1282" s="1"/>
      <c r="J1282" s="1"/>
    </row>
    <row r="1283" spans="1:10" x14ac:dyDescent="0.2">
      <c r="A1283" s="1"/>
      <c r="B1283" s="1"/>
      <c r="C1283" s="1"/>
      <c r="H1283" s="1"/>
      <c r="I1283" s="1"/>
      <c r="J1283" s="1"/>
    </row>
    <row r="1284" spans="1:10" x14ac:dyDescent="0.2">
      <c r="A1284" s="1"/>
      <c r="B1284" s="1"/>
      <c r="C1284" s="1"/>
      <c r="H1284" s="1"/>
      <c r="I1284" s="1"/>
      <c r="J1284" s="1"/>
    </row>
    <row r="1285" spans="1:10" x14ac:dyDescent="0.2">
      <c r="A1285" s="1"/>
      <c r="B1285" s="1"/>
      <c r="C1285" s="1"/>
      <c r="H1285" s="1"/>
      <c r="I1285" s="1"/>
      <c r="J1285" s="1"/>
    </row>
    <row r="1286" spans="1:10" x14ac:dyDescent="0.2">
      <c r="A1286" s="1"/>
      <c r="B1286" s="1"/>
      <c r="C1286" s="1"/>
      <c r="H1286" s="1"/>
      <c r="I1286" s="1"/>
      <c r="J1286" s="1"/>
    </row>
    <row r="1287" spans="1:10" x14ac:dyDescent="0.2">
      <c r="A1287" s="1"/>
      <c r="B1287" s="1"/>
      <c r="C1287" s="1"/>
      <c r="H1287" s="1"/>
      <c r="I1287" s="1"/>
      <c r="J1287" s="1"/>
    </row>
    <row r="1288" spans="1:10" x14ac:dyDescent="0.2">
      <c r="A1288" s="1"/>
      <c r="B1288" s="1"/>
      <c r="C1288" s="1"/>
      <c r="H1288" s="1"/>
      <c r="I1288" s="1"/>
      <c r="J1288" s="1"/>
    </row>
    <row r="1289" spans="1:10" x14ac:dyDescent="0.2">
      <c r="A1289" s="1"/>
      <c r="B1289" s="1"/>
      <c r="C1289" s="1"/>
      <c r="H1289" s="1"/>
      <c r="I1289" s="1"/>
      <c r="J1289" s="1"/>
    </row>
    <row r="1290" spans="1:10" x14ac:dyDescent="0.2">
      <c r="A1290" s="1"/>
      <c r="B1290" s="1"/>
      <c r="C1290" s="1"/>
      <c r="H1290" s="1"/>
      <c r="I1290" s="1"/>
      <c r="J1290" s="1"/>
    </row>
    <row r="1291" spans="1:10" x14ac:dyDescent="0.2">
      <c r="A1291" s="1"/>
      <c r="B1291" s="1"/>
      <c r="C1291" s="1"/>
      <c r="H1291" s="1"/>
      <c r="I1291" s="1"/>
      <c r="J1291" s="1"/>
    </row>
    <row r="1292" spans="1:10" x14ac:dyDescent="0.2">
      <c r="A1292" s="1"/>
      <c r="B1292" s="1"/>
      <c r="C1292" s="1"/>
      <c r="H1292" s="1"/>
      <c r="I1292" s="1"/>
      <c r="J1292" s="1"/>
    </row>
    <row r="1293" spans="1:10" x14ac:dyDescent="0.2">
      <c r="A1293" s="1"/>
      <c r="B1293" s="1"/>
      <c r="C1293" s="1"/>
      <c r="H1293" s="1"/>
      <c r="I1293" s="1"/>
      <c r="J1293" s="1"/>
    </row>
    <row r="1294" spans="1:10" x14ac:dyDescent="0.2">
      <c r="A1294" s="1"/>
      <c r="B1294" s="1"/>
      <c r="C1294" s="1"/>
      <c r="H1294" s="1"/>
      <c r="I1294" s="1"/>
      <c r="J1294" s="1"/>
    </row>
    <row r="1295" spans="1:10" x14ac:dyDescent="0.2">
      <c r="A1295" s="1"/>
      <c r="B1295" s="1"/>
      <c r="C1295" s="1"/>
      <c r="H1295" s="1"/>
      <c r="I1295" s="1"/>
      <c r="J1295" s="1"/>
    </row>
    <row r="1296" spans="1:10" x14ac:dyDescent="0.2">
      <c r="A1296" s="1"/>
      <c r="B1296" s="1"/>
      <c r="C1296" s="1"/>
      <c r="H1296" s="1"/>
      <c r="I1296" s="1"/>
      <c r="J1296" s="1"/>
    </row>
    <row r="1297" spans="1:10" x14ac:dyDescent="0.2">
      <c r="A1297" s="1"/>
      <c r="B1297" s="1"/>
      <c r="C1297" s="1"/>
      <c r="H1297" s="1"/>
      <c r="I1297" s="1"/>
      <c r="J1297" s="1"/>
    </row>
    <row r="1298" spans="1:10" x14ac:dyDescent="0.2">
      <c r="A1298" s="1"/>
      <c r="B1298" s="1"/>
      <c r="C1298" s="1"/>
      <c r="H1298" s="1"/>
      <c r="I1298" s="1"/>
      <c r="J1298" s="1"/>
    </row>
    <row r="1299" spans="1:10" x14ac:dyDescent="0.2">
      <c r="A1299" s="1"/>
      <c r="B1299" s="1"/>
      <c r="C1299" s="1"/>
      <c r="H1299" s="1"/>
      <c r="I1299" s="1"/>
      <c r="J1299" s="1"/>
    </row>
    <row r="1300" spans="1:10" x14ac:dyDescent="0.2">
      <c r="A1300" s="1"/>
      <c r="B1300" s="1"/>
      <c r="C1300" s="1"/>
      <c r="H1300" s="1"/>
      <c r="I1300" s="1"/>
      <c r="J1300" s="1"/>
    </row>
    <row r="1301" spans="1:10" x14ac:dyDescent="0.2">
      <c r="A1301" s="1"/>
      <c r="B1301" s="1"/>
      <c r="C1301" s="1"/>
      <c r="H1301" s="1"/>
      <c r="I1301" s="1"/>
      <c r="J1301" s="1"/>
    </row>
    <row r="1302" spans="1:10" x14ac:dyDescent="0.2">
      <c r="A1302" s="1"/>
      <c r="B1302" s="1"/>
      <c r="C1302" s="1"/>
      <c r="H1302" s="1"/>
      <c r="I1302" s="1"/>
      <c r="J1302" s="1"/>
    </row>
    <row r="1303" spans="1:10" x14ac:dyDescent="0.2">
      <c r="A1303" s="1"/>
      <c r="B1303" s="1"/>
      <c r="C1303" s="1"/>
      <c r="H1303" s="1"/>
      <c r="I1303" s="1"/>
      <c r="J1303" s="1"/>
    </row>
    <row r="1304" spans="1:10" x14ac:dyDescent="0.2">
      <c r="A1304" s="1"/>
      <c r="B1304" s="1"/>
      <c r="C1304" s="1"/>
      <c r="H1304" s="1"/>
      <c r="I1304" s="1"/>
      <c r="J1304" s="1"/>
    </row>
    <row r="1305" spans="1:10" x14ac:dyDescent="0.2">
      <c r="A1305" s="1"/>
      <c r="B1305" s="1"/>
      <c r="C1305" s="1"/>
      <c r="H1305" s="1"/>
      <c r="I1305" s="1"/>
      <c r="J1305" s="1"/>
    </row>
    <row r="1306" spans="1:10" x14ac:dyDescent="0.2">
      <c r="A1306" s="1"/>
      <c r="B1306" s="1"/>
      <c r="C1306" s="1"/>
      <c r="H1306" s="1"/>
      <c r="I1306" s="1"/>
      <c r="J1306" s="1"/>
    </row>
    <row r="1307" spans="1:10" x14ac:dyDescent="0.2">
      <c r="A1307" s="1"/>
      <c r="B1307" s="1"/>
      <c r="C1307" s="1"/>
      <c r="H1307" s="1"/>
      <c r="I1307" s="1"/>
      <c r="J1307" s="1"/>
    </row>
    <row r="1308" spans="1:10" x14ac:dyDescent="0.2">
      <c r="A1308" s="1"/>
      <c r="B1308" s="1"/>
      <c r="C1308" s="1"/>
      <c r="H1308" s="1"/>
      <c r="I1308" s="1"/>
      <c r="J1308" s="1"/>
    </row>
    <row r="1309" spans="1:10" x14ac:dyDescent="0.2">
      <c r="A1309" s="1"/>
      <c r="B1309" s="1"/>
      <c r="C1309" s="1"/>
      <c r="H1309" s="1"/>
      <c r="I1309" s="1"/>
      <c r="J1309" s="1"/>
    </row>
    <row r="1310" spans="1:10" x14ac:dyDescent="0.2">
      <c r="A1310" s="1"/>
      <c r="B1310" s="1"/>
      <c r="C1310" s="1"/>
      <c r="H1310" s="1"/>
      <c r="I1310" s="1"/>
      <c r="J1310" s="1"/>
    </row>
    <row r="1311" spans="1:10" x14ac:dyDescent="0.2">
      <c r="A1311" s="1"/>
      <c r="B1311" s="1"/>
      <c r="C1311" s="1"/>
      <c r="H1311" s="1"/>
      <c r="I1311" s="1"/>
      <c r="J1311" s="1"/>
    </row>
    <row r="1312" spans="1:10" x14ac:dyDescent="0.2">
      <c r="A1312" s="1"/>
      <c r="B1312" s="1"/>
      <c r="C1312" s="1"/>
      <c r="H1312" s="1"/>
      <c r="I1312" s="1"/>
      <c r="J1312" s="1"/>
    </row>
    <row r="1313" spans="1:10" x14ac:dyDescent="0.2">
      <c r="A1313" s="1"/>
      <c r="B1313" s="1"/>
      <c r="C1313" s="1"/>
      <c r="H1313" s="1"/>
      <c r="I1313" s="1"/>
      <c r="J1313" s="1"/>
    </row>
    <row r="1314" spans="1:10" x14ac:dyDescent="0.2">
      <c r="A1314" s="1"/>
      <c r="B1314" s="1"/>
      <c r="C1314" s="1"/>
      <c r="H1314" s="1"/>
      <c r="I1314" s="1"/>
      <c r="J1314" s="1"/>
    </row>
    <row r="1315" spans="1:10" x14ac:dyDescent="0.2">
      <c r="A1315" s="1"/>
      <c r="B1315" s="1"/>
      <c r="C1315" s="1"/>
      <c r="H1315" s="1"/>
      <c r="I1315" s="1"/>
      <c r="J1315" s="1"/>
    </row>
    <row r="1316" spans="1:10" x14ac:dyDescent="0.2">
      <c r="A1316" s="1"/>
      <c r="B1316" s="1"/>
      <c r="C1316" s="1"/>
      <c r="H1316" s="1"/>
      <c r="I1316" s="1"/>
      <c r="J1316" s="1"/>
    </row>
    <row r="1317" spans="1:10" x14ac:dyDescent="0.2">
      <c r="A1317" s="1"/>
      <c r="B1317" s="1"/>
      <c r="C1317" s="1"/>
      <c r="H1317" s="1"/>
      <c r="I1317" s="1"/>
      <c r="J1317" s="1"/>
    </row>
    <row r="1318" spans="1:10" x14ac:dyDescent="0.2">
      <c r="A1318" s="1"/>
      <c r="B1318" s="1"/>
      <c r="C1318" s="1"/>
      <c r="H1318" s="1"/>
      <c r="I1318" s="1"/>
      <c r="J1318" s="1"/>
    </row>
    <row r="1319" spans="1:10" x14ac:dyDescent="0.2">
      <c r="A1319" s="1"/>
      <c r="B1319" s="1"/>
      <c r="C1319" s="1"/>
      <c r="H1319" s="1"/>
      <c r="I1319" s="1"/>
      <c r="J1319" s="1"/>
    </row>
    <row r="1320" spans="1:10" x14ac:dyDescent="0.2">
      <c r="A1320" s="1"/>
      <c r="B1320" s="1"/>
      <c r="C1320" s="1"/>
      <c r="H1320" s="1"/>
      <c r="I1320" s="1"/>
      <c r="J1320" s="1"/>
    </row>
    <row r="1321" spans="1:10" x14ac:dyDescent="0.2">
      <c r="A1321" s="1"/>
      <c r="B1321" s="1"/>
      <c r="C1321" s="1"/>
      <c r="H1321" s="1"/>
      <c r="I1321" s="1"/>
      <c r="J1321" s="1"/>
    </row>
    <row r="1322" spans="1:10" x14ac:dyDescent="0.2">
      <c r="A1322" s="1"/>
      <c r="B1322" s="1"/>
      <c r="C1322" s="1"/>
      <c r="H1322" s="1"/>
      <c r="I1322" s="1"/>
      <c r="J1322" s="1"/>
    </row>
    <row r="1323" spans="1:10" x14ac:dyDescent="0.2">
      <c r="A1323" s="1"/>
      <c r="B1323" s="1"/>
      <c r="C1323" s="1"/>
      <c r="H1323" s="1"/>
      <c r="I1323" s="1"/>
      <c r="J1323" s="1"/>
    </row>
    <row r="1324" spans="1:10" x14ac:dyDescent="0.2">
      <c r="A1324" s="1"/>
      <c r="B1324" s="1"/>
      <c r="C1324" s="1"/>
      <c r="H1324" s="1"/>
      <c r="I1324" s="1"/>
      <c r="J1324" s="1"/>
    </row>
    <row r="1325" spans="1:10" x14ac:dyDescent="0.2">
      <c r="A1325" s="1"/>
      <c r="B1325" s="1"/>
      <c r="C1325" s="1"/>
      <c r="H1325" s="1"/>
      <c r="I1325" s="1"/>
      <c r="J1325" s="1"/>
    </row>
    <row r="1326" spans="1:10" x14ac:dyDescent="0.2">
      <c r="A1326" s="1"/>
      <c r="B1326" s="1"/>
      <c r="C1326" s="1"/>
      <c r="H1326" s="1"/>
      <c r="I1326" s="1"/>
      <c r="J1326" s="1"/>
    </row>
    <row r="1327" spans="1:10" x14ac:dyDescent="0.2">
      <c r="A1327" s="1"/>
      <c r="B1327" s="1"/>
      <c r="C1327" s="1"/>
      <c r="H1327" s="1"/>
      <c r="I1327" s="1"/>
      <c r="J1327" s="1"/>
    </row>
    <row r="1328" spans="1:10" x14ac:dyDescent="0.2">
      <c r="A1328" s="1"/>
      <c r="B1328" s="1"/>
      <c r="C1328" s="1"/>
      <c r="H1328" s="1"/>
      <c r="I1328" s="1"/>
      <c r="J1328" s="1"/>
    </row>
    <row r="1329" spans="1:10" x14ac:dyDescent="0.2">
      <c r="A1329" s="1"/>
      <c r="B1329" s="1"/>
      <c r="C1329" s="1"/>
      <c r="H1329" s="1"/>
      <c r="I1329" s="1"/>
      <c r="J1329" s="1"/>
    </row>
    <row r="1330" spans="1:10" x14ac:dyDescent="0.2">
      <c r="A1330" s="1"/>
      <c r="B1330" s="1"/>
      <c r="C1330" s="1"/>
      <c r="H1330" s="1"/>
      <c r="I1330" s="1"/>
      <c r="J1330" s="1"/>
    </row>
    <row r="1331" spans="1:10" x14ac:dyDescent="0.2">
      <c r="A1331" s="1"/>
      <c r="B1331" s="1"/>
      <c r="C1331" s="1"/>
      <c r="H1331" s="1"/>
      <c r="I1331" s="1"/>
      <c r="J1331" s="1"/>
    </row>
    <row r="1332" spans="1:10" x14ac:dyDescent="0.2">
      <c r="A1332" s="1"/>
      <c r="B1332" s="1"/>
      <c r="C1332" s="1"/>
      <c r="H1332" s="1"/>
      <c r="I1332" s="1"/>
      <c r="J1332" s="1"/>
    </row>
    <row r="1333" spans="1:10" x14ac:dyDescent="0.2">
      <c r="A1333" s="1"/>
      <c r="B1333" s="1"/>
      <c r="C1333" s="1"/>
      <c r="H1333" s="1"/>
      <c r="I1333" s="1"/>
      <c r="J1333" s="1"/>
    </row>
    <row r="1334" spans="1:10" x14ac:dyDescent="0.2">
      <c r="A1334" s="1"/>
      <c r="B1334" s="1"/>
      <c r="C1334" s="1"/>
      <c r="H1334" s="1"/>
      <c r="I1334" s="1"/>
      <c r="J1334" s="1"/>
    </row>
    <row r="1335" spans="1:10" x14ac:dyDescent="0.2">
      <c r="A1335" s="1"/>
      <c r="B1335" s="1"/>
      <c r="C1335" s="1"/>
      <c r="H1335" s="1"/>
      <c r="I1335" s="1"/>
      <c r="J1335" s="1"/>
    </row>
    <row r="1336" spans="1:10" x14ac:dyDescent="0.2">
      <c r="A1336" s="1"/>
      <c r="B1336" s="1"/>
      <c r="C1336" s="1"/>
      <c r="H1336" s="1"/>
      <c r="I1336" s="1"/>
      <c r="J1336" s="1"/>
    </row>
    <row r="1337" spans="1:10" x14ac:dyDescent="0.2">
      <c r="A1337" s="1"/>
      <c r="B1337" s="1"/>
      <c r="C1337" s="1"/>
      <c r="H1337" s="1"/>
      <c r="I1337" s="1"/>
      <c r="J1337" s="1"/>
    </row>
    <row r="1338" spans="1:10" x14ac:dyDescent="0.2">
      <c r="A1338" s="1"/>
      <c r="B1338" s="1"/>
      <c r="C1338" s="1"/>
      <c r="H1338" s="1"/>
      <c r="I1338" s="1"/>
      <c r="J1338" s="1"/>
    </row>
    <row r="1339" spans="1:10" x14ac:dyDescent="0.2">
      <c r="A1339" s="1"/>
      <c r="B1339" s="1"/>
      <c r="C1339" s="1"/>
      <c r="H1339" s="1"/>
      <c r="I1339" s="1"/>
      <c r="J1339" s="1"/>
    </row>
    <row r="1340" spans="1:10" x14ac:dyDescent="0.2">
      <c r="A1340" s="1"/>
      <c r="B1340" s="1"/>
      <c r="C1340" s="1"/>
      <c r="H1340" s="1"/>
      <c r="I1340" s="1"/>
      <c r="J1340" s="1"/>
    </row>
    <row r="1341" spans="1:10" x14ac:dyDescent="0.2">
      <c r="A1341" s="1"/>
      <c r="B1341" s="1"/>
      <c r="C1341" s="1"/>
      <c r="H1341" s="1"/>
      <c r="I1341" s="1"/>
      <c r="J1341" s="1"/>
    </row>
    <row r="1342" spans="1:10" x14ac:dyDescent="0.2">
      <c r="A1342" s="1"/>
      <c r="B1342" s="1"/>
      <c r="C1342" s="1"/>
      <c r="H1342" s="1"/>
      <c r="I1342" s="1"/>
      <c r="J1342" s="1"/>
    </row>
    <row r="1343" spans="1:10" x14ac:dyDescent="0.2">
      <c r="A1343" s="1"/>
      <c r="B1343" s="1"/>
      <c r="C1343" s="1"/>
      <c r="H1343" s="1"/>
      <c r="I1343" s="1"/>
      <c r="J1343" s="1"/>
    </row>
    <row r="1344" spans="1:10" x14ac:dyDescent="0.2">
      <c r="A1344" s="1"/>
      <c r="B1344" s="1"/>
      <c r="C1344" s="1"/>
      <c r="H1344" s="1"/>
      <c r="I1344" s="1"/>
      <c r="J1344" s="1"/>
    </row>
    <row r="1345" spans="1:10" x14ac:dyDescent="0.2">
      <c r="A1345" s="1"/>
      <c r="B1345" s="1"/>
      <c r="C1345" s="1"/>
      <c r="H1345" s="1"/>
      <c r="I1345" s="1"/>
      <c r="J1345" s="1"/>
    </row>
    <row r="1346" spans="1:10" x14ac:dyDescent="0.2">
      <c r="A1346" s="1"/>
      <c r="B1346" s="1"/>
      <c r="C1346" s="1"/>
      <c r="H1346" s="1"/>
      <c r="I1346" s="1"/>
      <c r="J1346" s="1"/>
    </row>
    <row r="1347" spans="1:10" x14ac:dyDescent="0.2">
      <c r="A1347" s="1"/>
      <c r="B1347" s="1"/>
      <c r="C1347" s="1"/>
      <c r="H1347" s="1"/>
      <c r="I1347" s="1"/>
      <c r="J1347" s="1"/>
    </row>
    <row r="1348" spans="1:10" x14ac:dyDescent="0.2">
      <c r="A1348" s="1"/>
      <c r="B1348" s="1"/>
      <c r="C1348" s="1"/>
      <c r="H1348" s="1"/>
      <c r="I1348" s="1"/>
      <c r="J1348" s="1"/>
    </row>
    <row r="1349" spans="1:10" x14ac:dyDescent="0.2">
      <c r="A1349" s="1"/>
      <c r="B1349" s="1"/>
      <c r="C1349" s="1"/>
      <c r="H1349" s="1"/>
      <c r="I1349" s="1"/>
      <c r="J1349" s="1"/>
    </row>
    <row r="1350" spans="1:10" x14ac:dyDescent="0.2">
      <c r="A1350" s="1"/>
      <c r="B1350" s="1"/>
      <c r="C1350" s="1"/>
      <c r="H1350" s="1"/>
      <c r="I1350" s="1"/>
      <c r="J1350" s="1"/>
    </row>
    <row r="1351" spans="1:10" x14ac:dyDescent="0.2">
      <c r="A1351" s="1"/>
      <c r="B1351" s="1"/>
      <c r="C1351" s="1"/>
      <c r="H1351" s="1"/>
      <c r="I1351" s="1"/>
      <c r="J1351" s="1"/>
    </row>
    <row r="1352" spans="1:10" x14ac:dyDescent="0.2">
      <c r="A1352" s="1"/>
      <c r="B1352" s="1"/>
      <c r="C1352" s="1"/>
      <c r="H1352" s="1"/>
      <c r="I1352" s="1"/>
      <c r="J1352" s="1"/>
    </row>
    <row r="1353" spans="1:10" x14ac:dyDescent="0.2">
      <c r="A1353" s="1"/>
      <c r="B1353" s="1"/>
      <c r="C1353" s="1"/>
      <c r="H1353" s="1"/>
      <c r="I1353" s="1"/>
      <c r="J1353" s="1"/>
    </row>
    <row r="1354" spans="1:10" x14ac:dyDescent="0.2">
      <c r="A1354" s="1"/>
      <c r="B1354" s="1"/>
      <c r="C1354" s="1"/>
      <c r="H1354" s="1"/>
      <c r="I1354" s="1"/>
      <c r="J1354" s="1"/>
    </row>
    <row r="1355" spans="1:10" x14ac:dyDescent="0.2">
      <c r="A1355" s="1"/>
      <c r="B1355" s="1"/>
      <c r="C1355" s="1"/>
      <c r="H1355" s="1"/>
      <c r="I1355" s="1"/>
      <c r="J1355" s="1"/>
    </row>
    <row r="1356" spans="1:10" x14ac:dyDescent="0.2">
      <c r="A1356" s="1"/>
      <c r="B1356" s="1"/>
      <c r="C1356" s="1"/>
      <c r="H1356" s="1"/>
      <c r="I1356" s="1"/>
      <c r="J1356" s="1"/>
    </row>
    <row r="1357" spans="1:10" x14ac:dyDescent="0.2">
      <c r="A1357" s="1"/>
      <c r="B1357" s="1"/>
      <c r="C1357" s="1"/>
      <c r="H1357" s="1"/>
      <c r="I1357" s="1"/>
      <c r="J1357" s="1"/>
    </row>
    <row r="1358" spans="1:10" x14ac:dyDescent="0.2">
      <c r="A1358" s="1"/>
      <c r="B1358" s="1"/>
      <c r="C1358" s="1"/>
      <c r="H1358" s="1"/>
      <c r="I1358" s="1"/>
      <c r="J1358" s="1"/>
    </row>
    <row r="1359" spans="1:10" x14ac:dyDescent="0.2">
      <c r="A1359" s="1"/>
      <c r="B1359" s="1"/>
      <c r="C1359" s="1"/>
      <c r="H1359" s="1"/>
      <c r="I1359" s="1"/>
      <c r="J1359" s="1"/>
    </row>
    <row r="1360" spans="1:10" x14ac:dyDescent="0.2">
      <c r="A1360" s="1"/>
      <c r="B1360" s="1"/>
      <c r="C1360" s="1"/>
      <c r="H1360" s="1"/>
      <c r="I1360" s="1"/>
      <c r="J1360" s="1"/>
    </row>
    <row r="1361" spans="1:10" x14ac:dyDescent="0.2">
      <c r="A1361" s="1"/>
      <c r="B1361" s="1"/>
      <c r="C1361" s="1"/>
      <c r="H1361" s="1"/>
      <c r="I1361" s="1"/>
      <c r="J1361" s="1"/>
    </row>
    <row r="1362" spans="1:10" x14ac:dyDescent="0.2">
      <c r="A1362" s="1"/>
      <c r="B1362" s="1"/>
      <c r="C1362" s="1"/>
      <c r="H1362" s="1"/>
      <c r="I1362" s="1"/>
      <c r="J1362" s="1"/>
    </row>
    <row r="1363" spans="1:10" x14ac:dyDescent="0.2">
      <c r="A1363" s="1"/>
      <c r="B1363" s="1"/>
      <c r="C1363" s="1"/>
      <c r="H1363" s="1"/>
      <c r="I1363" s="1"/>
      <c r="J1363" s="1"/>
    </row>
    <row r="1364" spans="1:10" x14ac:dyDescent="0.2">
      <c r="A1364" s="1"/>
      <c r="B1364" s="1"/>
      <c r="C1364" s="1"/>
      <c r="H1364" s="1"/>
      <c r="I1364" s="1"/>
      <c r="J1364" s="1"/>
    </row>
    <row r="1365" spans="1:10" x14ac:dyDescent="0.2">
      <c r="A1365" s="1"/>
      <c r="B1365" s="1"/>
      <c r="C1365" s="1"/>
      <c r="H1365" s="1"/>
      <c r="I1365" s="1"/>
      <c r="J1365" s="1"/>
    </row>
    <row r="1366" spans="1:10" x14ac:dyDescent="0.2">
      <c r="A1366" s="1"/>
      <c r="B1366" s="1"/>
      <c r="C1366" s="1"/>
      <c r="H1366" s="1"/>
      <c r="I1366" s="1"/>
      <c r="J1366" s="1"/>
    </row>
    <row r="1367" spans="1:10" x14ac:dyDescent="0.2">
      <c r="A1367" s="1"/>
      <c r="B1367" s="1"/>
      <c r="C1367" s="1"/>
      <c r="H1367" s="1"/>
      <c r="I1367" s="1"/>
      <c r="J1367" s="1"/>
    </row>
    <row r="1368" spans="1:10" x14ac:dyDescent="0.2">
      <c r="A1368" s="1"/>
      <c r="B1368" s="1"/>
      <c r="C1368" s="1"/>
      <c r="H1368" s="1"/>
      <c r="I1368" s="1"/>
      <c r="J1368" s="1"/>
    </row>
    <row r="1369" spans="1:10" x14ac:dyDescent="0.2">
      <c r="A1369" s="1"/>
      <c r="B1369" s="1"/>
      <c r="C1369" s="1"/>
      <c r="H1369" s="1"/>
      <c r="I1369" s="1"/>
      <c r="J1369" s="1"/>
    </row>
    <row r="1370" spans="1:10" x14ac:dyDescent="0.2">
      <c r="A1370" s="1"/>
      <c r="B1370" s="1"/>
      <c r="C1370" s="1"/>
      <c r="H1370" s="1"/>
      <c r="I1370" s="1"/>
      <c r="J1370" s="1"/>
    </row>
    <row r="1371" spans="1:10" x14ac:dyDescent="0.2">
      <c r="A1371" s="1"/>
      <c r="B1371" s="1"/>
      <c r="C1371" s="1"/>
      <c r="H1371" s="1"/>
      <c r="I1371" s="1"/>
      <c r="J1371" s="1"/>
    </row>
    <row r="1372" spans="1:10" x14ac:dyDescent="0.2">
      <c r="A1372" s="1"/>
      <c r="B1372" s="1"/>
      <c r="C1372" s="1"/>
      <c r="H1372" s="1"/>
      <c r="I1372" s="1"/>
      <c r="J1372" s="1"/>
    </row>
    <row r="1373" spans="1:10" x14ac:dyDescent="0.2">
      <c r="A1373" s="1"/>
      <c r="B1373" s="1"/>
      <c r="C1373" s="1"/>
      <c r="H1373" s="1"/>
      <c r="I1373" s="1"/>
      <c r="J1373" s="1"/>
    </row>
    <row r="1374" spans="1:10" x14ac:dyDescent="0.2">
      <c r="A1374" s="1"/>
      <c r="B1374" s="1"/>
      <c r="C1374" s="1"/>
      <c r="H1374" s="1"/>
      <c r="I1374" s="1"/>
      <c r="J1374" s="1"/>
    </row>
    <row r="1375" spans="1:10" x14ac:dyDescent="0.2">
      <c r="A1375" s="1"/>
      <c r="B1375" s="1"/>
      <c r="C1375" s="1"/>
      <c r="H1375" s="1"/>
      <c r="I1375" s="1"/>
      <c r="J1375" s="1"/>
    </row>
    <row r="1376" spans="1:10" x14ac:dyDescent="0.2">
      <c r="A1376" s="1"/>
      <c r="B1376" s="1"/>
      <c r="C1376" s="1"/>
      <c r="H1376" s="1"/>
      <c r="I1376" s="1"/>
      <c r="J1376" s="1"/>
    </row>
    <row r="1377" spans="1:10" x14ac:dyDescent="0.2">
      <c r="A1377" s="1"/>
      <c r="B1377" s="1"/>
      <c r="C1377" s="1"/>
      <c r="H1377" s="1"/>
      <c r="I1377" s="1"/>
      <c r="J1377" s="1"/>
    </row>
    <row r="1378" spans="1:10" x14ac:dyDescent="0.2">
      <c r="A1378" s="1"/>
      <c r="B1378" s="1"/>
      <c r="C1378" s="1"/>
      <c r="H1378" s="1"/>
      <c r="I1378" s="1"/>
      <c r="J1378" s="1"/>
    </row>
    <row r="1379" spans="1:10" x14ac:dyDescent="0.2">
      <c r="A1379" s="1"/>
      <c r="B1379" s="1"/>
      <c r="C1379" s="1"/>
      <c r="H1379" s="1"/>
      <c r="I1379" s="1"/>
      <c r="J1379" s="1"/>
    </row>
    <row r="1380" spans="1:10" x14ac:dyDescent="0.2">
      <c r="A1380" s="1"/>
      <c r="B1380" s="1"/>
      <c r="C1380" s="1"/>
      <c r="H1380" s="1"/>
      <c r="I1380" s="1"/>
      <c r="J1380" s="1"/>
    </row>
    <row r="1381" spans="1:10" x14ac:dyDescent="0.2">
      <c r="A1381" s="1"/>
      <c r="B1381" s="1"/>
      <c r="C1381" s="1"/>
      <c r="H1381" s="1"/>
      <c r="I1381" s="1"/>
      <c r="J1381" s="1"/>
    </row>
    <row r="1382" spans="1:10" x14ac:dyDescent="0.2">
      <c r="A1382" s="1"/>
      <c r="B1382" s="1"/>
      <c r="C1382" s="1"/>
      <c r="H1382" s="1"/>
      <c r="I1382" s="1"/>
      <c r="J1382" s="1"/>
    </row>
    <row r="1383" spans="1:10" x14ac:dyDescent="0.2">
      <c r="A1383" s="1"/>
      <c r="B1383" s="1"/>
      <c r="C1383" s="1"/>
      <c r="H1383" s="1"/>
      <c r="I1383" s="1"/>
      <c r="J1383" s="1"/>
    </row>
    <row r="1384" spans="1:10" x14ac:dyDescent="0.2">
      <c r="A1384" s="1"/>
      <c r="B1384" s="1"/>
      <c r="C1384" s="1"/>
      <c r="H1384" s="1"/>
      <c r="I1384" s="1"/>
      <c r="J1384" s="1"/>
    </row>
    <row r="1385" spans="1:10" x14ac:dyDescent="0.2">
      <c r="A1385" s="1"/>
      <c r="B1385" s="1"/>
      <c r="C1385" s="1"/>
      <c r="H1385" s="1"/>
      <c r="I1385" s="1"/>
      <c r="J1385" s="1"/>
    </row>
    <row r="1386" spans="1:10" x14ac:dyDescent="0.2">
      <c r="A1386" s="1"/>
      <c r="B1386" s="1"/>
      <c r="C1386" s="1"/>
      <c r="H1386" s="1"/>
      <c r="I1386" s="1"/>
      <c r="J1386" s="1"/>
    </row>
    <row r="1387" spans="1:10" x14ac:dyDescent="0.2">
      <c r="A1387" s="1"/>
      <c r="B1387" s="1"/>
      <c r="C1387" s="1"/>
      <c r="H1387" s="1"/>
      <c r="I1387" s="1"/>
      <c r="J1387" s="1"/>
    </row>
    <row r="1388" spans="1:10" x14ac:dyDescent="0.2">
      <c r="A1388" s="1"/>
      <c r="B1388" s="1"/>
      <c r="C1388" s="1"/>
      <c r="H1388" s="1"/>
      <c r="I1388" s="1"/>
      <c r="J1388" s="1"/>
    </row>
    <row r="1389" spans="1:10" x14ac:dyDescent="0.2">
      <c r="A1389" s="1"/>
      <c r="B1389" s="1"/>
      <c r="C1389" s="1"/>
      <c r="H1389" s="1"/>
      <c r="I1389" s="1"/>
      <c r="J1389" s="1"/>
    </row>
    <row r="1390" spans="1:10" x14ac:dyDescent="0.2">
      <c r="A1390" s="1"/>
      <c r="B1390" s="1"/>
      <c r="C1390" s="1"/>
      <c r="H1390" s="1"/>
      <c r="I1390" s="1"/>
      <c r="J1390" s="1"/>
    </row>
    <row r="1391" spans="1:10" x14ac:dyDescent="0.2">
      <c r="A1391" s="1"/>
      <c r="B1391" s="1"/>
      <c r="C1391" s="1"/>
      <c r="H1391" s="1"/>
      <c r="I1391" s="1"/>
      <c r="J1391" s="1"/>
    </row>
    <row r="1392" spans="1:10" x14ac:dyDescent="0.2">
      <c r="A1392" s="1"/>
      <c r="B1392" s="1"/>
      <c r="C1392" s="1"/>
      <c r="H1392" s="1"/>
      <c r="I1392" s="1"/>
      <c r="J1392" s="1"/>
    </row>
    <row r="1393" spans="1:10" x14ac:dyDescent="0.2">
      <c r="A1393" s="1"/>
      <c r="B1393" s="1"/>
      <c r="C1393" s="1"/>
      <c r="H1393" s="1"/>
      <c r="I1393" s="1"/>
      <c r="J1393" s="1"/>
    </row>
    <row r="1394" spans="1:10" x14ac:dyDescent="0.2">
      <c r="A1394" s="1"/>
      <c r="B1394" s="1"/>
      <c r="C1394" s="1"/>
      <c r="H1394" s="1"/>
      <c r="I1394" s="1"/>
      <c r="J1394" s="1"/>
    </row>
    <row r="1395" spans="1:10" x14ac:dyDescent="0.2">
      <c r="A1395" s="1"/>
      <c r="B1395" s="1"/>
      <c r="C1395" s="1"/>
      <c r="H1395" s="1"/>
      <c r="I1395" s="1"/>
      <c r="J1395" s="1"/>
    </row>
    <row r="1396" spans="1:10" x14ac:dyDescent="0.2">
      <c r="A1396" s="1"/>
      <c r="B1396" s="1"/>
      <c r="C1396" s="1"/>
      <c r="H1396" s="1"/>
      <c r="I1396" s="1"/>
      <c r="J1396" s="1"/>
    </row>
    <row r="1397" spans="1:10" x14ac:dyDescent="0.2">
      <c r="A1397" s="1"/>
      <c r="B1397" s="1"/>
      <c r="C1397" s="1"/>
      <c r="H1397" s="1"/>
      <c r="I1397" s="1"/>
      <c r="J1397" s="1"/>
    </row>
    <row r="1398" spans="1:10" x14ac:dyDescent="0.2">
      <c r="A1398" s="1"/>
      <c r="B1398" s="1"/>
      <c r="C1398" s="1"/>
      <c r="H1398" s="1"/>
      <c r="I1398" s="1"/>
      <c r="J1398" s="1"/>
    </row>
    <row r="1399" spans="1:10" x14ac:dyDescent="0.2">
      <c r="A1399" s="1"/>
      <c r="B1399" s="1"/>
      <c r="C1399" s="1"/>
      <c r="H1399" s="1"/>
      <c r="I1399" s="1"/>
      <c r="J1399" s="1"/>
    </row>
    <row r="1400" spans="1:10" x14ac:dyDescent="0.2">
      <c r="A1400" s="1"/>
      <c r="B1400" s="1"/>
      <c r="C1400" s="1"/>
      <c r="H1400" s="1"/>
      <c r="I1400" s="1"/>
      <c r="J1400" s="1"/>
    </row>
    <row r="1401" spans="1:10" x14ac:dyDescent="0.2">
      <c r="A1401" s="1"/>
      <c r="B1401" s="1"/>
      <c r="C1401" s="1"/>
      <c r="H1401" s="1"/>
      <c r="I1401" s="1"/>
      <c r="J1401" s="1"/>
    </row>
    <row r="1402" spans="1:10" x14ac:dyDescent="0.2">
      <c r="A1402" s="1"/>
      <c r="B1402" s="1"/>
      <c r="C1402" s="1"/>
      <c r="H1402" s="1"/>
      <c r="I1402" s="1"/>
      <c r="J1402" s="1"/>
    </row>
    <row r="1403" spans="1:10" x14ac:dyDescent="0.2">
      <c r="A1403" s="1"/>
      <c r="B1403" s="1"/>
      <c r="C1403" s="1"/>
      <c r="H1403" s="1"/>
      <c r="I1403" s="1"/>
      <c r="J1403" s="1"/>
    </row>
    <row r="1404" spans="1:10" x14ac:dyDescent="0.2">
      <c r="A1404" s="1"/>
      <c r="B1404" s="1"/>
      <c r="C1404" s="1"/>
      <c r="H1404" s="1"/>
      <c r="I1404" s="1"/>
      <c r="J1404" s="1"/>
    </row>
    <row r="1405" spans="1:10" x14ac:dyDescent="0.2">
      <c r="A1405" s="1"/>
      <c r="B1405" s="1"/>
      <c r="C1405" s="1"/>
      <c r="H1405" s="1"/>
      <c r="I1405" s="1"/>
      <c r="J1405" s="1"/>
    </row>
    <row r="1406" spans="1:10" x14ac:dyDescent="0.2">
      <c r="A1406" s="1"/>
      <c r="B1406" s="1"/>
      <c r="C1406" s="1"/>
      <c r="H1406" s="1"/>
      <c r="I1406" s="1"/>
      <c r="J1406" s="1"/>
    </row>
    <row r="1407" spans="1:10" x14ac:dyDescent="0.2">
      <c r="A1407" s="1"/>
      <c r="B1407" s="1"/>
      <c r="C1407" s="1"/>
      <c r="H1407" s="1"/>
      <c r="I1407" s="1"/>
      <c r="J1407" s="1"/>
    </row>
    <row r="1408" spans="1:10" x14ac:dyDescent="0.2">
      <c r="A1408" s="1"/>
      <c r="B1408" s="1"/>
      <c r="C1408" s="1"/>
      <c r="H1408" s="1"/>
      <c r="I1408" s="1"/>
      <c r="J1408" s="1"/>
    </row>
    <row r="1409" spans="1:10" x14ac:dyDescent="0.2">
      <c r="A1409" s="1"/>
      <c r="B1409" s="1"/>
      <c r="C1409" s="1"/>
      <c r="H1409" s="1"/>
      <c r="I1409" s="1"/>
      <c r="J1409" s="1"/>
    </row>
    <row r="1410" spans="1:10" x14ac:dyDescent="0.2">
      <c r="A1410" s="1"/>
      <c r="B1410" s="1"/>
      <c r="C1410" s="1"/>
      <c r="H1410" s="1"/>
      <c r="I1410" s="1"/>
      <c r="J1410" s="1"/>
    </row>
    <row r="1411" spans="1:10" x14ac:dyDescent="0.2">
      <c r="A1411" s="1"/>
      <c r="B1411" s="1"/>
      <c r="C1411" s="1"/>
      <c r="H1411" s="1"/>
      <c r="I1411" s="1"/>
      <c r="J1411" s="1"/>
    </row>
    <row r="1412" spans="1:10" x14ac:dyDescent="0.2">
      <c r="A1412" s="1"/>
      <c r="B1412" s="1"/>
      <c r="C1412" s="1"/>
      <c r="H1412" s="1"/>
      <c r="I1412" s="1"/>
      <c r="J1412" s="1"/>
    </row>
    <row r="1413" spans="1:10" x14ac:dyDescent="0.2">
      <c r="A1413" s="1"/>
      <c r="B1413" s="1"/>
      <c r="C1413" s="1"/>
      <c r="H1413" s="1"/>
      <c r="I1413" s="1"/>
      <c r="J1413" s="1"/>
    </row>
    <row r="1414" spans="1:10" x14ac:dyDescent="0.2">
      <c r="A1414" s="1"/>
      <c r="B1414" s="1"/>
      <c r="C1414" s="1"/>
      <c r="H1414" s="1"/>
      <c r="I1414" s="1"/>
      <c r="J1414" s="1"/>
    </row>
    <row r="1415" spans="1:10" x14ac:dyDescent="0.2">
      <c r="A1415" s="1"/>
      <c r="B1415" s="1"/>
      <c r="C1415" s="1"/>
      <c r="H1415" s="1"/>
      <c r="I1415" s="1"/>
      <c r="J1415" s="1"/>
    </row>
    <row r="1416" spans="1:10" x14ac:dyDescent="0.2">
      <c r="A1416" s="1"/>
      <c r="B1416" s="1"/>
      <c r="C1416" s="1"/>
      <c r="H1416" s="1"/>
      <c r="I1416" s="1"/>
      <c r="J1416" s="1"/>
    </row>
    <row r="1417" spans="1:10" x14ac:dyDescent="0.2">
      <c r="A1417" s="1"/>
      <c r="B1417" s="1"/>
      <c r="C1417" s="1"/>
      <c r="H1417" s="1"/>
      <c r="I1417" s="1"/>
      <c r="J1417" s="1"/>
    </row>
    <row r="1418" spans="1:10" x14ac:dyDescent="0.2">
      <c r="A1418" s="1"/>
      <c r="B1418" s="1"/>
      <c r="C1418" s="1"/>
      <c r="H1418" s="1"/>
      <c r="I1418" s="1"/>
      <c r="J1418" s="1"/>
    </row>
    <row r="1419" spans="1:10" x14ac:dyDescent="0.2">
      <c r="A1419" s="1"/>
      <c r="B1419" s="1"/>
      <c r="C1419" s="1"/>
      <c r="H1419" s="1"/>
      <c r="I1419" s="1"/>
      <c r="J1419" s="1"/>
    </row>
    <row r="1420" spans="1:10" x14ac:dyDescent="0.2">
      <c r="A1420" s="1"/>
      <c r="B1420" s="1"/>
      <c r="C1420" s="1"/>
      <c r="H1420" s="1"/>
      <c r="I1420" s="1"/>
      <c r="J1420" s="1"/>
    </row>
    <row r="1421" spans="1:10" x14ac:dyDescent="0.2">
      <c r="A1421" s="1"/>
      <c r="B1421" s="1"/>
      <c r="C1421" s="1"/>
      <c r="H1421" s="1"/>
      <c r="I1421" s="1"/>
      <c r="J1421" s="1"/>
    </row>
    <row r="1422" spans="1:10" x14ac:dyDescent="0.2">
      <c r="A1422" s="1"/>
      <c r="B1422" s="1"/>
      <c r="C1422" s="1"/>
      <c r="H1422" s="1"/>
      <c r="I1422" s="1"/>
      <c r="J1422" s="1"/>
    </row>
    <row r="1423" spans="1:10" x14ac:dyDescent="0.2">
      <c r="A1423" s="1"/>
      <c r="B1423" s="1"/>
      <c r="C1423" s="1"/>
      <c r="H1423" s="1"/>
      <c r="I1423" s="1"/>
      <c r="J1423" s="1"/>
    </row>
    <row r="1424" spans="1:10" x14ac:dyDescent="0.2">
      <c r="A1424" s="1"/>
      <c r="B1424" s="1"/>
      <c r="C1424" s="1"/>
      <c r="H1424" s="1"/>
      <c r="I1424" s="1"/>
      <c r="J1424" s="1"/>
    </row>
    <row r="1425" spans="1:10" x14ac:dyDescent="0.2">
      <c r="A1425" s="1"/>
      <c r="B1425" s="1"/>
      <c r="C1425" s="1"/>
      <c r="H1425" s="1"/>
      <c r="I1425" s="1"/>
      <c r="J1425" s="1"/>
    </row>
    <row r="1426" spans="1:10" x14ac:dyDescent="0.2">
      <c r="A1426" s="1"/>
      <c r="B1426" s="1"/>
      <c r="C1426" s="1"/>
      <c r="H1426" s="1"/>
      <c r="I1426" s="1"/>
      <c r="J1426" s="1"/>
    </row>
    <row r="1427" spans="1:10" x14ac:dyDescent="0.2">
      <c r="A1427" s="1"/>
      <c r="B1427" s="1"/>
      <c r="C1427" s="1"/>
      <c r="H1427" s="1"/>
      <c r="I1427" s="1"/>
      <c r="J1427" s="1"/>
    </row>
    <row r="1428" spans="1:10" x14ac:dyDescent="0.2">
      <c r="A1428" s="1"/>
      <c r="B1428" s="1"/>
      <c r="C1428" s="1"/>
      <c r="H1428" s="1"/>
      <c r="I1428" s="1"/>
      <c r="J1428" s="1"/>
    </row>
    <row r="1429" spans="1:10" x14ac:dyDescent="0.2">
      <c r="A1429" s="1"/>
      <c r="B1429" s="1"/>
      <c r="C1429" s="1"/>
      <c r="H1429" s="1"/>
      <c r="I1429" s="1"/>
      <c r="J1429" s="1"/>
    </row>
    <row r="1430" spans="1:10" x14ac:dyDescent="0.2">
      <c r="A1430" s="1"/>
      <c r="B1430" s="1"/>
      <c r="C1430" s="1"/>
      <c r="H1430" s="1"/>
      <c r="I1430" s="1"/>
      <c r="J1430" s="1"/>
    </row>
    <row r="1431" spans="1:10" x14ac:dyDescent="0.2">
      <c r="A1431" s="1"/>
      <c r="B1431" s="1"/>
      <c r="C1431" s="1"/>
      <c r="H1431" s="1"/>
      <c r="I1431" s="1"/>
      <c r="J1431" s="1"/>
    </row>
    <row r="1432" spans="1:10" x14ac:dyDescent="0.2">
      <c r="A1432" s="1"/>
      <c r="B1432" s="1"/>
      <c r="C1432" s="1"/>
      <c r="H1432" s="1"/>
      <c r="I1432" s="1"/>
      <c r="J1432" s="1"/>
    </row>
    <row r="1433" spans="1:10" x14ac:dyDescent="0.2">
      <c r="A1433" s="1"/>
      <c r="B1433" s="1"/>
      <c r="C1433" s="1"/>
      <c r="H1433" s="1"/>
      <c r="I1433" s="1"/>
      <c r="J1433" s="1"/>
    </row>
    <row r="1434" spans="1:10" x14ac:dyDescent="0.2">
      <c r="A1434" s="1"/>
      <c r="B1434" s="1"/>
      <c r="C1434" s="1"/>
      <c r="H1434" s="1"/>
      <c r="I1434" s="1"/>
      <c r="J1434" s="1"/>
    </row>
    <row r="1435" spans="1:10" x14ac:dyDescent="0.2">
      <c r="A1435" s="1"/>
      <c r="B1435" s="1"/>
      <c r="C1435" s="1"/>
      <c r="H1435" s="1"/>
      <c r="I1435" s="1"/>
      <c r="J1435" s="1"/>
    </row>
    <row r="1436" spans="1:10" x14ac:dyDescent="0.2">
      <c r="A1436" s="1"/>
      <c r="B1436" s="1"/>
      <c r="C1436" s="1"/>
      <c r="H1436" s="1"/>
      <c r="I1436" s="1"/>
      <c r="J1436" s="1"/>
    </row>
    <row r="1437" spans="1:10" x14ac:dyDescent="0.2">
      <c r="A1437" s="1"/>
      <c r="B1437" s="1"/>
      <c r="C1437" s="1"/>
      <c r="H1437" s="1"/>
      <c r="I1437" s="1"/>
      <c r="J1437" s="1"/>
    </row>
    <row r="1438" spans="1:10" x14ac:dyDescent="0.2">
      <c r="A1438" s="1"/>
      <c r="B1438" s="1"/>
      <c r="C1438" s="1"/>
      <c r="H1438" s="1"/>
      <c r="I1438" s="1"/>
      <c r="J1438" s="1"/>
    </row>
    <row r="1439" spans="1:10" x14ac:dyDescent="0.2">
      <c r="A1439" s="1"/>
      <c r="B1439" s="1"/>
      <c r="C1439" s="1"/>
      <c r="H1439" s="1"/>
      <c r="I1439" s="1"/>
      <c r="J1439" s="1"/>
    </row>
    <row r="1440" spans="1:10" x14ac:dyDescent="0.2">
      <c r="A1440" s="1"/>
      <c r="B1440" s="1"/>
      <c r="C1440" s="1"/>
      <c r="H1440" s="1"/>
      <c r="I1440" s="1"/>
      <c r="J1440" s="1"/>
    </row>
    <row r="1441" spans="1:10" x14ac:dyDescent="0.2">
      <c r="A1441" s="1"/>
      <c r="B1441" s="1"/>
      <c r="C1441" s="1"/>
      <c r="H1441" s="1"/>
      <c r="I1441" s="1"/>
      <c r="J1441" s="1"/>
    </row>
    <row r="1442" spans="1:10" x14ac:dyDescent="0.2">
      <c r="A1442" s="1"/>
      <c r="B1442" s="1"/>
      <c r="C1442" s="1"/>
      <c r="H1442" s="1"/>
      <c r="I1442" s="1"/>
      <c r="J1442" s="1"/>
    </row>
    <row r="1443" spans="1:10" x14ac:dyDescent="0.2">
      <c r="A1443" s="1"/>
      <c r="B1443" s="1"/>
      <c r="C1443" s="1"/>
      <c r="H1443" s="1"/>
      <c r="I1443" s="1"/>
      <c r="J1443" s="1"/>
    </row>
    <row r="1444" spans="1:10" x14ac:dyDescent="0.2">
      <c r="A1444" s="1"/>
      <c r="B1444" s="1"/>
      <c r="C1444" s="1"/>
      <c r="H1444" s="1"/>
      <c r="I1444" s="1"/>
      <c r="J1444" s="1"/>
    </row>
    <row r="1445" spans="1:10" x14ac:dyDescent="0.2">
      <c r="A1445" s="1"/>
      <c r="B1445" s="1"/>
      <c r="C1445" s="1"/>
      <c r="H1445" s="1"/>
      <c r="I1445" s="1"/>
      <c r="J1445" s="1"/>
    </row>
    <row r="1446" spans="1:10" x14ac:dyDescent="0.2">
      <c r="A1446" s="1"/>
      <c r="B1446" s="1"/>
      <c r="C1446" s="1"/>
      <c r="H1446" s="1"/>
      <c r="I1446" s="1"/>
      <c r="J1446" s="1"/>
    </row>
    <row r="1447" spans="1:10" x14ac:dyDescent="0.2">
      <c r="A1447" s="1"/>
      <c r="B1447" s="1"/>
      <c r="C1447" s="1"/>
      <c r="H1447" s="1"/>
      <c r="I1447" s="1"/>
      <c r="J1447" s="1"/>
    </row>
    <row r="1448" spans="1:10" x14ac:dyDescent="0.2">
      <c r="A1448" s="1"/>
      <c r="B1448" s="1"/>
      <c r="C1448" s="1"/>
      <c r="H1448" s="1"/>
      <c r="I1448" s="1"/>
      <c r="J1448" s="1"/>
    </row>
    <row r="1449" spans="1:10" x14ac:dyDescent="0.2">
      <c r="A1449" s="1"/>
      <c r="B1449" s="1"/>
      <c r="C1449" s="1"/>
      <c r="H1449" s="1"/>
      <c r="I1449" s="1"/>
      <c r="J1449" s="1"/>
    </row>
    <row r="1450" spans="1:10" x14ac:dyDescent="0.2">
      <c r="A1450" s="1"/>
      <c r="B1450" s="1"/>
      <c r="C1450" s="1"/>
      <c r="H1450" s="1"/>
      <c r="I1450" s="1"/>
      <c r="J1450" s="1"/>
    </row>
    <row r="1451" spans="1:10" x14ac:dyDescent="0.2">
      <c r="A1451" s="1"/>
      <c r="B1451" s="1"/>
      <c r="C1451" s="1"/>
      <c r="H1451" s="1"/>
      <c r="I1451" s="1"/>
      <c r="J1451" s="1"/>
    </row>
    <row r="1452" spans="1:10" x14ac:dyDescent="0.2">
      <c r="A1452" s="1"/>
      <c r="B1452" s="1"/>
      <c r="C1452" s="1"/>
      <c r="H1452" s="1"/>
      <c r="I1452" s="1"/>
      <c r="J1452" s="1"/>
    </row>
    <row r="1453" spans="1:10" x14ac:dyDescent="0.2">
      <c r="A1453" s="1"/>
      <c r="B1453" s="1"/>
      <c r="C1453" s="1"/>
      <c r="H1453" s="1"/>
      <c r="I1453" s="1"/>
      <c r="J1453" s="1"/>
    </row>
    <row r="1454" spans="1:10" x14ac:dyDescent="0.2">
      <c r="A1454" s="1"/>
      <c r="B1454" s="1"/>
      <c r="C1454" s="1"/>
      <c r="H1454" s="1"/>
      <c r="I1454" s="1"/>
      <c r="J1454" s="1"/>
    </row>
    <row r="1455" spans="1:10" x14ac:dyDescent="0.2">
      <c r="A1455" s="1"/>
      <c r="B1455" s="1"/>
      <c r="C1455" s="1"/>
      <c r="H1455" s="1"/>
      <c r="I1455" s="1"/>
      <c r="J1455" s="1"/>
    </row>
    <row r="1456" spans="1:10" x14ac:dyDescent="0.2">
      <c r="A1456" s="1"/>
      <c r="B1456" s="1"/>
      <c r="C1456" s="1"/>
      <c r="H1456" s="1"/>
      <c r="I1456" s="1"/>
      <c r="J1456" s="1"/>
    </row>
    <row r="1457" spans="1:10" x14ac:dyDescent="0.2">
      <c r="A1457" s="1"/>
      <c r="B1457" s="1"/>
      <c r="C1457" s="1"/>
      <c r="H1457" s="1"/>
      <c r="I1457" s="1"/>
      <c r="J1457" s="1"/>
    </row>
    <row r="1458" spans="1:10" x14ac:dyDescent="0.2">
      <c r="A1458" s="1"/>
      <c r="B1458" s="1"/>
      <c r="C1458" s="1"/>
      <c r="H1458" s="1"/>
      <c r="I1458" s="1"/>
      <c r="J1458" s="1"/>
    </row>
    <row r="1459" spans="1:10" x14ac:dyDescent="0.2">
      <c r="A1459" s="1"/>
      <c r="B1459" s="1"/>
      <c r="C1459" s="1"/>
      <c r="H1459" s="1"/>
      <c r="I1459" s="1"/>
      <c r="J1459" s="1"/>
    </row>
    <row r="1460" spans="1:10" x14ac:dyDescent="0.2">
      <c r="A1460" s="1"/>
      <c r="B1460" s="1"/>
      <c r="C1460" s="1"/>
      <c r="H1460" s="1"/>
      <c r="I1460" s="1"/>
      <c r="J1460" s="1"/>
    </row>
    <row r="1461" spans="1:10" x14ac:dyDescent="0.2">
      <c r="A1461" s="1"/>
      <c r="B1461" s="1"/>
      <c r="C1461" s="1"/>
      <c r="H1461" s="1"/>
      <c r="I1461" s="1"/>
      <c r="J1461" s="1"/>
    </row>
    <row r="1462" spans="1:10" x14ac:dyDescent="0.2">
      <c r="A1462" s="1"/>
      <c r="B1462" s="1"/>
      <c r="C1462" s="1"/>
      <c r="H1462" s="1"/>
      <c r="I1462" s="1"/>
      <c r="J1462" s="1"/>
    </row>
    <row r="1463" spans="1:10" x14ac:dyDescent="0.2">
      <c r="A1463" s="1"/>
      <c r="B1463" s="1"/>
      <c r="C1463" s="1"/>
      <c r="H1463" s="1"/>
      <c r="I1463" s="1"/>
      <c r="J1463" s="1"/>
    </row>
    <row r="1464" spans="1:10" x14ac:dyDescent="0.2">
      <c r="A1464" s="1"/>
      <c r="B1464" s="1"/>
      <c r="C1464" s="1"/>
      <c r="H1464" s="1"/>
      <c r="I1464" s="1"/>
      <c r="J1464" s="1"/>
    </row>
    <row r="1465" spans="1:10" x14ac:dyDescent="0.2">
      <c r="A1465" s="1"/>
      <c r="B1465" s="1"/>
      <c r="C1465" s="1"/>
      <c r="H1465" s="1"/>
      <c r="I1465" s="1"/>
      <c r="J1465" s="1"/>
    </row>
    <row r="1466" spans="1:10" x14ac:dyDescent="0.2">
      <c r="A1466" s="1"/>
      <c r="B1466" s="1"/>
      <c r="C1466" s="1"/>
      <c r="H1466" s="1"/>
      <c r="I1466" s="1"/>
      <c r="J1466" s="1"/>
    </row>
    <row r="1467" spans="1:10" x14ac:dyDescent="0.2">
      <c r="A1467" s="1"/>
      <c r="B1467" s="1"/>
      <c r="C1467" s="1"/>
      <c r="H1467" s="1"/>
      <c r="I1467" s="1"/>
      <c r="J1467" s="1"/>
    </row>
    <row r="1468" spans="1:10" x14ac:dyDescent="0.2">
      <c r="A1468" s="1"/>
      <c r="B1468" s="1"/>
      <c r="C1468" s="1"/>
      <c r="H1468" s="1"/>
      <c r="I1468" s="1"/>
      <c r="J1468" s="1"/>
    </row>
    <row r="1469" spans="1:10" x14ac:dyDescent="0.2">
      <c r="A1469" s="1"/>
      <c r="B1469" s="1"/>
      <c r="C1469" s="1"/>
      <c r="H1469" s="1"/>
      <c r="I1469" s="1"/>
      <c r="J1469" s="1"/>
    </row>
    <row r="1470" spans="1:10" x14ac:dyDescent="0.2">
      <c r="A1470" s="1"/>
      <c r="B1470" s="1"/>
      <c r="C1470" s="1"/>
      <c r="H1470" s="1"/>
      <c r="I1470" s="1"/>
      <c r="J1470" s="1"/>
    </row>
    <row r="1471" spans="1:10" x14ac:dyDescent="0.2">
      <c r="A1471" s="1"/>
      <c r="B1471" s="1"/>
      <c r="C1471" s="1"/>
      <c r="H1471" s="1"/>
      <c r="I1471" s="1"/>
      <c r="J1471" s="1"/>
    </row>
    <row r="1472" spans="1:10" x14ac:dyDescent="0.2">
      <c r="A1472" s="1"/>
      <c r="B1472" s="1"/>
      <c r="C1472" s="1"/>
      <c r="H1472" s="1"/>
      <c r="I1472" s="1"/>
      <c r="J1472" s="1"/>
    </row>
    <row r="1473" spans="1:10" x14ac:dyDescent="0.2">
      <c r="A1473" s="1"/>
      <c r="B1473" s="1"/>
      <c r="C1473" s="1"/>
      <c r="H1473" s="1"/>
      <c r="I1473" s="1"/>
      <c r="J1473" s="1"/>
    </row>
    <row r="1474" spans="1:10" x14ac:dyDescent="0.2">
      <c r="A1474" s="1"/>
      <c r="B1474" s="1"/>
      <c r="C1474" s="1"/>
      <c r="H1474" s="1"/>
      <c r="I1474" s="1"/>
      <c r="J1474" s="1"/>
    </row>
    <row r="1475" spans="1:10" x14ac:dyDescent="0.2">
      <c r="A1475" s="1"/>
      <c r="B1475" s="1"/>
      <c r="C1475" s="1"/>
      <c r="H1475" s="1"/>
      <c r="I1475" s="1"/>
      <c r="J1475" s="1"/>
    </row>
    <row r="1476" spans="1:10" x14ac:dyDescent="0.2">
      <c r="A1476" s="1"/>
      <c r="B1476" s="1"/>
      <c r="C1476" s="1"/>
      <c r="H1476" s="1"/>
      <c r="I1476" s="1"/>
      <c r="J1476" s="1"/>
    </row>
    <row r="1477" spans="1:10" x14ac:dyDescent="0.2">
      <c r="A1477" s="1"/>
      <c r="B1477" s="1"/>
      <c r="C1477" s="1"/>
      <c r="H1477" s="1"/>
      <c r="I1477" s="1"/>
      <c r="J1477" s="1"/>
    </row>
    <row r="1478" spans="1:10" x14ac:dyDescent="0.2">
      <c r="A1478" s="1"/>
      <c r="B1478" s="1"/>
      <c r="C1478" s="1"/>
      <c r="H1478" s="1"/>
      <c r="I1478" s="1"/>
      <c r="J1478" s="1"/>
    </row>
    <row r="1479" spans="1:10" x14ac:dyDescent="0.2">
      <c r="A1479" s="1"/>
      <c r="B1479" s="1"/>
      <c r="C1479" s="1"/>
      <c r="H1479" s="1"/>
      <c r="I1479" s="1"/>
      <c r="J1479" s="1"/>
    </row>
    <row r="1480" spans="1:10" x14ac:dyDescent="0.2">
      <c r="A1480" s="1"/>
      <c r="B1480" s="1"/>
      <c r="C1480" s="1"/>
      <c r="H1480" s="1"/>
      <c r="I1480" s="1"/>
      <c r="J1480" s="1"/>
    </row>
    <row r="1481" spans="1:10" x14ac:dyDescent="0.2">
      <c r="A1481" s="1"/>
      <c r="B1481" s="1"/>
      <c r="C1481" s="1"/>
      <c r="H1481" s="1"/>
      <c r="I1481" s="1"/>
      <c r="J1481" s="1"/>
    </row>
    <row r="1482" spans="1:10" x14ac:dyDescent="0.2">
      <c r="A1482" s="1"/>
      <c r="B1482" s="1"/>
      <c r="C1482" s="1"/>
      <c r="H1482" s="1"/>
      <c r="I1482" s="1"/>
      <c r="J1482" s="1"/>
    </row>
    <row r="1483" spans="1:10" x14ac:dyDescent="0.2">
      <c r="A1483" s="1"/>
      <c r="B1483" s="1"/>
      <c r="C1483" s="1"/>
      <c r="H1483" s="1"/>
      <c r="I1483" s="1"/>
      <c r="J1483" s="1"/>
    </row>
    <row r="1484" spans="1:10" x14ac:dyDescent="0.2">
      <c r="A1484" s="1"/>
      <c r="B1484" s="1"/>
      <c r="C1484" s="1"/>
      <c r="H1484" s="1"/>
      <c r="I1484" s="1"/>
      <c r="J1484" s="1"/>
    </row>
    <row r="1485" spans="1:10" x14ac:dyDescent="0.2">
      <c r="A1485" s="1"/>
      <c r="B1485" s="1"/>
      <c r="C1485" s="1"/>
      <c r="H1485" s="1"/>
      <c r="I1485" s="1"/>
      <c r="J1485" s="1"/>
    </row>
    <row r="1486" spans="1:10" x14ac:dyDescent="0.2">
      <c r="A1486" s="1"/>
      <c r="B1486" s="1"/>
      <c r="C1486" s="1"/>
      <c r="H1486" s="1"/>
      <c r="I1486" s="1"/>
      <c r="J1486" s="1"/>
    </row>
    <row r="1487" spans="1:10" x14ac:dyDescent="0.2">
      <c r="A1487" s="1"/>
      <c r="B1487" s="1"/>
      <c r="C1487" s="1"/>
      <c r="H1487" s="1"/>
      <c r="I1487" s="1"/>
      <c r="J1487" s="1"/>
    </row>
    <row r="1488" spans="1:10" x14ac:dyDescent="0.2">
      <c r="A1488" s="1"/>
      <c r="B1488" s="1"/>
      <c r="C1488" s="1"/>
      <c r="H1488" s="1"/>
      <c r="I1488" s="1"/>
      <c r="J1488" s="1"/>
    </row>
    <row r="1489" spans="1:10" x14ac:dyDescent="0.2">
      <c r="A1489" s="1"/>
      <c r="B1489" s="1"/>
      <c r="C1489" s="1"/>
      <c r="H1489" s="1"/>
      <c r="I1489" s="1"/>
      <c r="J1489" s="1"/>
    </row>
    <row r="1490" spans="1:10" x14ac:dyDescent="0.2">
      <c r="A1490" s="1"/>
      <c r="B1490" s="1"/>
      <c r="C1490" s="1"/>
      <c r="H1490" s="1"/>
      <c r="I1490" s="1"/>
      <c r="J1490" s="1"/>
    </row>
    <row r="1491" spans="1:10" x14ac:dyDescent="0.2">
      <c r="A1491" s="1"/>
      <c r="B1491" s="1"/>
      <c r="C1491" s="1"/>
      <c r="H1491" s="1"/>
      <c r="I1491" s="1"/>
      <c r="J1491" s="1"/>
    </row>
    <row r="1492" spans="1:10" x14ac:dyDescent="0.2">
      <c r="A1492" s="1"/>
      <c r="B1492" s="1"/>
      <c r="C1492" s="1"/>
      <c r="H1492" s="1"/>
      <c r="I1492" s="1"/>
      <c r="J1492" s="1"/>
    </row>
    <row r="1493" spans="1:10" x14ac:dyDescent="0.2">
      <c r="A1493" s="1"/>
      <c r="B1493" s="1"/>
      <c r="C1493" s="1"/>
      <c r="H1493" s="1"/>
      <c r="I1493" s="1"/>
      <c r="J1493" s="1"/>
    </row>
    <row r="1494" spans="1:10" x14ac:dyDescent="0.2">
      <c r="A1494" s="1"/>
      <c r="B1494" s="1"/>
      <c r="C1494" s="1"/>
      <c r="H1494" s="1"/>
      <c r="I1494" s="1"/>
      <c r="J1494" s="1"/>
    </row>
    <row r="1495" spans="1:10" x14ac:dyDescent="0.2">
      <c r="A1495" s="1"/>
      <c r="B1495" s="1"/>
      <c r="C1495" s="1"/>
      <c r="H1495" s="1"/>
      <c r="I1495" s="1"/>
      <c r="J1495" s="1"/>
    </row>
    <row r="1496" spans="1:10" x14ac:dyDescent="0.2">
      <c r="A1496" s="1"/>
      <c r="B1496" s="1"/>
      <c r="C1496" s="1"/>
      <c r="H1496" s="1"/>
      <c r="I1496" s="1"/>
      <c r="J1496" s="1"/>
    </row>
    <row r="1497" spans="1:10" x14ac:dyDescent="0.2">
      <c r="A1497" s="1"/>
      <c r="B1497" s="1"/>
      <c r="C1497" s="1"/>
      <c r="H1497" s="1"/>
      <c r="I1497" s="1"/>
      <c r="J1497" s="1"/>
    </row>
    <row r="1498" spans="1:10" x14ac:dyDescent="0.2">
      <c r="A1498" s="1"/>
      <c r="B1498" s="1"/>
      <c r="C1498" s="1"/>
      <c r="H1498" s="1"/>
      <c r="I1498" s="1"/>
      <c r="J1498" s="1"/>
    </row>
    <row r="1499" spans="1:10" x14ac:dyDescent="0.2">
      <c r="A1499" s="1"/>
      <c r="B1499" s="1"/>
      <c r="C1499" s="1"/>
      <c r="H1499" s="1"/>
      <c r="I1499" s="1"/>
      <c r="J1499" s="1"/>
    </row>
    <row r="1500" spans="1:10" x14ac:dyDescent="0.2">
      <c r="A1500" s="1"/>
      <c r="B1500" s="1"/>
      <c r="C1500" s="1"/>
      <c r="H1500" s="1"/>
      <c r="I1500" s="1"/>
      <c r="J1500" s="1"/>
    </row>
    <row r="1501" spans="1:10" x14ac:dyDescent="0.2">
      <c r="A1501" s="1"/>
      <c r="B1501" s="1"/>
      <c r="C1501" s="1"/>
      <c r="H1501" s="1"/>
      <c r="I1501" s="1"/>
      <c r="J1501" s="1"/>
    </row>
    <row r="1502" spans="1:10" x14ac:dyDescent="0.2">
      <c r="A1502" s="1"/>
      <c r="B1502" s="1"/>
      <c r="C1502" s="1"/>
      <c r="H1502" s="1"/>
      <c r="I1502" s="1"/>
      <c r="J1502" s="1"/>
    </row>
    <row r="1503" spans="1:10" x14ac:dyDescent="0.2">
      <c r="A1503" s="1"/>
      <c r="B1503" s="1"/>
      <c r="C1503" s="1"/>
      <c r="H1503" s="1"/>
      <c r="I1503" s="1"/>
      <c r="J1503" s="1"/>
    </row>
    <row r="1504" spans="1:10" x14ac:dyDescent="0.2">
      <c r="A1504" s="1"/>
      <c r="B1504" s="1"/>
      <c r="C1504" s="1"/>
      <c r="H1504" s="1"/>
      <c r="I1504" s="1"/>
      <c r="J1504" s="1"/>
    </row>
    <row r="1505" spans="1:10" x14ac:dyDescent="0.2">
      <c r="A1505" s="1"/>
      <c r="B1505" s="1"/>
      <c r="C1505" s="1"/>
      <c r="H1505" s="1"/>
      <c r="I1505" s="1"/>
      <c r="J1505" s="1"/>
    </row>
    <row r="1506" spans="1:10" x14ac:dyDescent="0.2">
      <c r="A1506" s="1"/>
      <c r="B1506" s="1"/>
      <c r="C1506" s="1"/>
      <c r="H1506" s="1"/>
      <c r="I1506" s="1"/>
      <c r="J1506" s="1"/>
    </row>
    <row r="1507" spans="1:10" x14ac:dyDescent="0.2">
      <c r="A1507" s="1"/>
      <c r="B1507" s="1"/>
      <c r="C1507" s="1"/>
      <c r="H1507" s="1"/>
      <c r="I1507" s="1"/>
      <c r="J1507" s="1"/>
    </row>
    <row r="1508" spans="1:10" x14ac:dyDescent="0.2">
      <c r="A1508" s="1"/>
      <c r="B1508" s="1"/>
      <c r="C1508" s="1"/>
      <c r="H1508" s="1"/>
      <c r="I1508" s="1"/>
      <c r="J1508" s="1"/>
    </row>
    <row r="1509" spans="1:10" x14ac:dyDescent="0.2">
      <c r="A1509" s="1"/>
      <c r="B1509" s="1"/>
      <c r="C1509" s="1"/>
      <c r="H1509" s="1"/>
      <c r="I1509" s="1"/>
      <c r="J1509" s="1"/>
    </row>
    <row r="1510" spans="1:10" x14ac:dyDescent="0.2">
      <c r="A1510" s="1"/>
      <c r="B1510" s="1"/>
      <c r="C1510" s="1"/>
      <c r="H1510" s="1"/>
      <c r="I1510" s="1"/>
      <c r="J1510" s="1"/>
    </row>
    <row r="1511" spans="1:10" x14ac:dyDescent="0.2">
      <c r="A1511" s="1"/>
      <c r="B1511" s="1"/>
      <c r="C1511" s="1"/>
      <c r="H1511" s="1"/>
      <c r="I1511" s="1"/>
      <c r="J1511" s="1"/>
    </row>
    <row r="1512" spans="1:10" x14ac:dyDescent="0.2">
      <c r="A1512" s="1"/>
      <c r="B1512" s="1"/>
      <c r="C1512" s="1"/>
      <c r="H1512" s="1"/>
      <c r="I1512" s="1"/>
      <c r="J1512" s="1"/>
    </row>
    <row r="1513" spans="1:10" x14ac:dyDescent="0.2">
      <c r="A1513" s="1"/>
      <c r="B1513" s="1"/>
      <c r="C1513" s="1"/>
      <c r="H1513" s="1"/>
      <c r="I1513" s="1"/>
      <c r="J1513" s="1"/>
    </row>
    <row r="1514" spans="1:10" x14ac:dyDescent="0.2">
      <c r="A1514" s="1"/>
      <c r="B1514" s="1"/>
      <c r="C1514" s="1"/>
      <c r="H1514" s="1"/>
      <c r="I1514" s="1"/>
      <c r="J1514" s="1"/>
    </row>
    <row r="1515" spans="1:10" x14ac:dyDescent="0.2">
      <c r="A1515" s="1"/>
      <c r="B1515" s="1"/>
      <c r="C1515" s="1"/>
      <c r="H1515" s="1"/>
      <c r="I1515" s="1"/>
      <c r="J1515" s="1"/>
    </row>
    <row r="1516" spans="1:10" x14ac:dyDescent="0.2">
      <c r="A1516" s="1"/>
      <c r="B1516" s="1"/>
      <c r="C1516" s="1"/>
      <c r="H1516" s="1"/>
      <c r="I1516" s="1"/>
      <c r="J1516" s="1"/>
    </row>
    <row r="1517" spans="1:10" x14ac:dyDescent="0.2">
      <c r="A1517" s="1"/>
      <c r="B1517" s="1"/>
      <c r="C1517" s="1"/>
      <c r="H1517" s="1"/>
      <c r="I1517" s="1"/>
      <c r="J1517" s="1"/>
    </row>
    <row r="1518" spans="1:10" x14ac:dyDescent="0.2">
      <c r="A1518" s="1"/>
      <c r="B1518" s="1"/>
      <c r="C1518" s="1"/>
      <c r="H1518" s="1"/>
      <c r="I1518" s="1"/>
      <c r="J1518" s="1"/>
    </row>
    <row r="1519" spans="1:10" x14ac:dyDescent="0.2">
      <c r="A1519" s="1"/>
      <c r="B1519" s="1"/>
      <c r="C1519" s="1"/>
      <c r="H1519" s="1"/>
      <c r="I1519" s="1"/>
      <c r="J1519" s="1"/>
    </row>
    <row r="1520" spans="1:10" x14ac:dyDescent="0.2">
      <c r="A1520" s="1"/>
      <c r="B1520" s="1"/>
      <c r="C1520" s="1"/>
      <c r="H1520" s="1"/>
      <c r="I1520" s="1"/>
      <c r="J1520" s="1"/>
    </row>
    <row r="1521" spans="1:10" x14ac:dyDescent="0.2">
      <c r="A1521" s="1"/>
      <c r="B1521" s="1"/>
      <c r="C1521" s="1"/>
      <c r="H1521" s="1"/>
      <c r="I1521" s="1"/>
      <c r="J1521" s="1"/>
    </row>
    <row r="1522" spans="1:10" x14ac:dyDescent="0.2">
      <c r="A1522" s="1"/>
      <c r="B1522" s="1"/>
      <c r="C1522" s="1"/>
      <c r="H1522" s="1"/>
      <c r="I1522" s="1"/>
      <c r="J1522" s="1"/>
    </row>
    <row r="1523" spans="1:10" x14ac:dyDescent="0.2">
      <c r="A1523" s="1"/>
      <c r="B1523" s="1"/>
      <c r="C1523" s="1"/>
      <c r="H1523" s="1"/>
      <c r="I1523" s="1"/>
      <c r="J1523" s="1"/>
    </row>
    <row r="1524" spans="1:10" x14ac:dyDescent="0.2">
      <c r="A1524" s="1"/>
      <c r="B1524" s="1"/>
      <c r="C1524" s="1"/>
      <c r="H1524" s="1"/>
      <c r="I1524" s="1"/>
      <c r="J1524" s="1"/>
    </row>
    <row r="1525" spans="1:10" x14ac:dyDescent="0.2">
      <c r="A1525" s="1"/>
      <c r="B1525" s="1"/>
      <c r="C1525" s="1"/>
      <c r="H1525" s="1"/>
      <c r="I1525" s="1"/>
      <c r="J1525" s="1"/>
    </row>
    <row r="1526" spans="1:10" x14ac:dyDescent="0.2">
      <c r="A1526" s="1"/>
      <c r="B1526" s="1"/>
      <c r="C1526" s="1"/>
      <c r="H1526" s="1"/>
      <c r="I1526" s="1"/>
      <c r="J1526" s="1"/>
    </row>
    <row r="1527" spans="1:10" x14ac:dyDescent="0.2">
      <c r="A1527" s="1"/>
      <c r="B1527" s="1"/>
      <c r="C1527" s="1"/>
      <c r="H1527" s="1"/>
      <c r="I1527" s="1"/>
      <c r="J1527" s="1"/>
    </row>
    <row r="1528" spans="1:10" x14ac:dyDescent="0.2">
      <c r="A1528" s="1"/>
      <c r="B1528" s="1"/>
      <c r="C1528" s="1"/>
      <c r="H1528" s="1"/>
      <c r="I1528" s="1"/>
      <c r="J1528" s="1"/>
    </row>
    <row r="1529" spans="1:10" x14ac:dyDescent="0.2">
      <c r="A1529" s="1"/>
      <c r="B1529" s="1"/>
      <c r="C1529" s="1"/>
      <c r="H1529" s="1"/>
      <c r="I1529" s="1"/>
      <c r="J1529" s="1"/>
    </row>
    <row r="1530" spans="1:10" x14ac:dyDescent="0.2">
      <c r="A1530" s="1"/>
      <c r="B1530" s="1"/>
      <c r="C1530" s="1"/>
      <c r="H1530" s="1"/>
      <c r="I1530" s="1"/>
      <c r="J1530" s="1"/>
    </row>
    <row r="1531" spans="1:10" x14ac:dyDescent="0.2">
      <c r="A1531" s="1"/>
      <c r="B1531" s="1"/>
      <c r="C1531" s="1"/>
      <c r="H1531" s="1"/>
      <c r="I1531" s="1"/>
      <c r="J1531" s="1"/>
    </row>
    <row r="1532" spans="1:10" x14ac:dyDescent="0.2">
      <c r="A1532" s="1"/>
      <c r="B1532" s="1"/>
      <c r="C1532" s="1"/>
      <c r="H1532" s="1"/>
      <c r="I1532" s="1"/>
      <c r="J1532" s="1"/>
    </row>
    <row r="1533" spans="1:10" x14ac:dyDescent="0.2">
      <c r="A1533" s="1"/>
      <c r="B1533" s="1"/>
      <c r="C1533" s="1"/>
      <c r="H1533" s="1"/>
      <c r="I1533" s="1"/>
      <c r="J1533" s="1"/>
    </row>
    <row r="1534" spans="1:10" x14ac:dyDescent="0.2">
      <c r="A1534" s="1"/>
      <c r="B1534" s="1"/>
      <c r="C1534" s="1"/>
      <c r="H1534" s="1"/>
      <c r="I1534" s="1"/>
      <c r="J1534" s="1"/>
    </row>
    <row r="1535" spans="1:10" x14ac:dyDescent="0.2">
      <c r="A1535" s="1"/>
      <c r="B1535" s="1"/>
      <c r="C1535" s="1"/>
      <c r="H1535" s="1"/>
      <c r="I1535" s="1"/>
      <c r="J1535" s="1"/>
    </row>
    <row r="1536" spans="1:10" x14ac:dyDescent="0.2">
      <c r="A1536" s="1"/>
      <c r="B1536" s="1"/>
      <c r="C1536" s="1"/>
      <c r="H1536" s="1"/>
      <c r="I1536" s="1"/>
      <c r="J1536" s="1"/>
    </row>
    <row r="1537" spans="1:10" x14ac:dyDescent="0.2">
      <c r="A1537" s="1"/>
      <c r="B1537" s="1"/>
      <c r="C1537" s="1"/>
      <c r="H1537" s="1"/>
      <c r="I1537" s="1"/>
      <c r="J1537" s="1"/>
    </row>
    <row r="1538" spans="1:10" x14ac:dyDescent="0.2">
      <c r="A1538" s="1"/>
      <c r="B1538" s="1"/>
      <c r="C1538" s="1"/>
      <c r="H1538" s="1"/>
      <c r="I1538" s="1"/>
      <c r="J1538" s="1"/>
    </row>
    <row r="1539" spans="1:10" x14ac:dyDescent="0.2">
      <c r="A1539" s="1"/>
      <c r="B1539" s="1"/>
      <c r="C1539" s="1"/>
      <c r="H1539" s="1"/>
      <c r="I1539" s="1"/>
      <c r="J1539" s="1"/>
    </row>
    <row r="1540" spans="1:10" x14ac:dyDescent="0.2">
      <c r="A1540" s="1"/>
      <c r="B1540" s="1"/>
      <c r="C1540" s="1"/>
      <c r="H1540" s="1"/>
      <c r="I1540" s="1"/>
      <c r="J1540" s="1"/>
    </row>
    <row r="1541" spans="1:10" x14ac:dyDescent="0.2">
      <c r="A1541" s="1"/>
      <c r="B1541" s="1"/>
      <c r="C1541" s="1"/>
      <c r="H1541" s="1"/>
      <c r="I1541" s="1"/>
      <c r="J1541" s="1"/>
    </row>
    <row r="1542" spans="1:10" x14ac:dyDescent="0.2">
      <c r="A1542" s="1"/>
      <c r="B1542" s="1"/>
      <c r="C1542" s="1"/>
      <c r="H1542" s="1"/>
      <c r="I1542" s="1"/>
      <c r="J1542" s="1"/>
    </row>
    <row r="1543" spans="1:10" x14ac:dyDescent="0.2">
      <c r="A1543" s="1"/>
      <c r="B1543" s="1"/>
      <c r="C1543" s="1"/>
      <c r="H1543" s="1"/>
      <c r="I1543" s="1"/>
      <c r="J1543" s="1"/>
    </row>
    <row r="1544" spans="1:10" x14ac:dyDescent="0.2">
      <c r="A1544" s="1"/>
      <c r="B1544" s="1"/>
      <c r="C1544" s="1"/>
      <c r="H1544" s="1"/>
      <c r="I1544" s="1"/>
      <c r="J1544" s="1"/>
    </row>
    <row r="1545" spans="1:10" x14ac:dyDescent="0.2">
      <c r="A1545" s="1"/>
      <c r="B1545" s="1"/>
      <c r="C1545" s="1"/>
      <c r="H1545" s="1"/>
      <c r="I1545" s="1"/>
      <c r="J1545" s="1"/>
    </row>
    <row r="1546" spans="1:10" x14ac:dyDescent="0.2">
      <c r="A1546" s="1"/>
      <c r="B1546" s="1"/>
      <c r="C1546" s="1"/>
      <c r="H1546" s="1"/>
      <c r="I1546" s="1"/>
      <c r="J1546" s="1"/>
    </row>
    <row r="1547" spans="1:10" x14ac:dyDescent="0.2">
      <c r="A1547" s="1"/>
      <c r="B1547" s="1"/>
      <c r="C1547" s="1"/>
      <c r="H1547" s="1"/>
      <c r="I1547" s="1"/>
      <c r="J1547" s="1"/>
    </row>
    <row r="1548" spans="1:10" x14ac:dyDescent="0.2">
      <c r="A1548" s="1"/>
      <c r="B1548" s="1"/>
      <c r="C1548" s="1"/>
      <c r="H1548" s="1"/>
      <c r="I1548" s="1"/>
      <c r="J1548" s="1"/>
    </row>
    <row r="1549" spans="1:10" x14ac:dyDescent="0.2">
      <c r="A1549" s="1"/>
      <c r="B1549" s="1"/>
      <c r="C1549" s="1"/>
      <c r="H1549" s="1"/>
      <c r="I1549" s="1"/>
      <c r="J1549" s="1"/>
    </row>
    <row r="1550" spans="1:10" x14ac:dyDescent="0.2">
      <c r="A1550" s="1"/>
      <c r="B1550" s="1"/>
      <c r="C1550" s="1"/>
      <c r="H1550" s="1"/>
      <c r="I1550" s="1"/>
      <c r="J1550" s="1"/>
    </row>
    <row r="1551" spans="1:10" x14ac:dyDescent="0.2">
      <c r="A1551" s="1"/>
      <c r="B1551" s="1"/>
      <c r="C1551" s="1"/>
      <c r="H1551" s="1"/>
      <c r="I1551" s="1"/>
      <c r="J1551" s="1"/>
    </row>
    <row r="1552" spans="1:10" x14ac:dyDescent="0.2">
      <c r="A1552" s="1"/>
      <c r="B1552" s="1"/>
      <c r="C1552" s="1"/>
      <c r="H1552" s="1"/>
      <c r="I1552" s="1"/>
      <c r="J1552" s="1"/>
    </row>
    <row r="1553" spans="1:10" x14ac:dyDescent="0.2">
      <c r="A1553" s="1"/>
      <c r="B1553" s="1"/>
      <c r="C1553" s="1"/>
      <c r="H1553" s="1"/>
      <c r="I1553" s="1"/>
      <c r="J1553" s="1"/>
    </row>
    <row r="1554" spans="1:10" x14ac:dyDescent="0.2">
      <c r="A1554" s="1"/>
      <c r="B1554" s="1"/>
      <c r="C1554" s="1"/>
      <c r="H1554" s="1"/>
      <c r="I1554" s="1"/>
      <c r="J1554" s="1"/>
    </row>
    <row r="1555" spans="1:10" x14ac:dyDescent="0.2">
      <c r="A1555" s="1"/>
      <c r="B1555" s="1"/>
      <c r="C1555" s="1"/>
      <c r="H1555" s="1"/>
      <c r="I1555" s="1"/>
      <c r="J1555" s="1"/>
    </row>
    <row r="1556" spans="1:10" x14ac:dyDescent="0.2">
      <c r="A1556" s="1"/>
      <c r="B1556" s="1"/>
      <c r="C1556" s="1"/>
      <c r="H1556" s="1"/>
      <c r="I1556" s="1"/>
      <c r="J1556" s="1"/>
    </row>
    <row r="1557" spans="1:10" x14ac:dyDescent="0.2">
      <c r="A1557" s="1"/>
      <c r="B1557" s="1"/>
      <c r="C1557" s="1"/>
      <c r="H1557" s="1"/>
      <c r="I1557" s="1"/>
      <c r="J1557" s="1"/>
    </row>
    <row r="1558" spans="1:10" x14ac:dyDescent="0.2">
      <c r="A1558" s="1"/>
      <c r="B1558" s="1"/>
      <c r="C1558" s="1"/>
      <c r="H1558" s="1"/>
      <c r="I1558" s="1"/>
      <c r="J1558" s="1"/>
    </row>
    <row r="1559" spans="1:10" x14ac:dyDescent="0.2">
      <c r="A1559" s="1"/>
      <c r="B1559" s="1"/>
      <c r="C1559" s="1"/>
      <c r="H1559" s="1"/>
      <c r="I1559" s="1"/>
      <c r="J1559" s="1"/>
    </row>
    <row r="1560" spans="1:10" x14ac:dyDescent="0.2">
      <c r="A1560" s="1"/>
      <c r="B1560" s="1"/>
      <c r="C1560" s="1"/>
      <c r="H1560" s="1"/>
      <c r="I1560" s="1"/>
      <c r="J1560" s="1"/>
    </row>
    <row r="1561" spans="1:10" x14ac:dyDescent="0.2">
      <c r="A1561" s="1"/>
      <c r="B1561" s="1"/>
      <c r="C1561" s="1"/>
      <c r="H1561" s="1"/>
      <c r="I1561" s="1"/>
      <c r="J1561" s="1"/>
    </row>
    <row r="1562" spans="1:10" x14ac:dyDescent="0.2">
      <c r="A1562" s="1"/>
      <c r="B1562" s="1"/>
      <c r="C1562" s="1"/>
      <c r="H1562" s="1"/>
      <c r="I1562" s="1"/>
      <c r="J1562" s="1"/>
    </row>
    <row r="1563" spans="1:10" x14ac:dyDescent="0.2">
      <c r="A1563" s="1"/>
      <c r="B1563" s="1"/>
      <c r="C1563" s="1"/>
      <c r="H1563" s="1"/>
      <c r="I1563" s="1"/>
      <c r="J1563" s="1"/>
    </row>
    <row r="1564" spans="1:10" x14ac:dyDescent="0.2">
      <c r="A1564" s="1"/>
      <c r="B1564" s="1"/>
      <c r="C1564" s="1"/>
      <c r="H1564" s="1"/>
      <c r="I1564" s="1"/>
      <c r="J1564" s="1"/>
    </row>
    <row r="1565" spans="1:10" x14ac:dyDescent="0.2">
      <c r="A1565" s="1"/>
      <c r="B1565" s="1"/>
      <c r="C1565" s="1"/>
      <c r="H1565" s="1"/>
      <c r="I1565" s="1"/>
      <c r="J1565" s="1"/>
    </row>
    <row r="1566" spans="1:10" x14ac:dyDescent="0.2">
      <c r="A1566" s="1"/>
      <c r="B1566" s="1"/>
      <c r="C1566" s="1"/>
      <c r="H1566" s="1"/>
      <c r="I1566" s="1"/>
      <c r="J1566" s="1"/>
    </row>
    <row r="1567" spans="1:10" x14ac:dyDescent="0.2">
      <c r="A1567" s="1"/>
      <c r="B1567" s="1"/>
      <c r="C1567" s="1"/>
      <c r="H1567" s="1"/>
      <c r="I1567" s="1"/>
      <c r="J1567" s="1"/>
    </row>
    <row r="1568" spans="1:10" x14ac:dyDescent="0.2">
      <c r="A1568" s="1"/>
      <c r="B1568" s="1"/>
      <c r="C1568" s="1"/>
      <c r="H1568" s="1"/>
      <c r="I1568" s="1"/>
      <c r="J1568" s="1"/>
    </row>
    <row r="1569" spans="1:10" x14ac:dyDescent="0.2">
      <c r="A1569" s="1"/>
      <c r="B1569" s="1"/>
      <c r="C1569" s="1"/>
      <c r="H1569" s="1"/>
      <c r="I1569" s="1"/>
      <c r="J1569" s="1"/>
    </row>
    <row r="1570" spans="1:10" x14ac:dyDescent="0.2">
      <c r="A1570" s="1"/>
      <c r="B1570" s="1"/>
      <c r="C1570" s="1"/>
      <c r="H1570" s="1"/>
      <c r="I1570" s="1"/>
      <c r="J1570" s="1"/>
    </row>
    <row r="1571" spans="1:10" x14ac:dyDescent="0.2">
      <c r="A1571" s="1"/>
      <c r="B1571" s="1"/>
      <c r="C1571" s="1"/>
      <c r="H1571" s="1"/>
      <c r="I1571" s="1"/>
      <c r="J1571" s="1"/>
    </row>
    <row r="1572" spans="1:10" x14ac:dyDescent="0.2">
      <c r="A1572" s="1"/>
      <c r="B1572" s="1"/>
      <c r="C1572" s="1"/>
      <c r="H1572" s="1"/>
      <c r="I1572" s="1"/>
      <c r="J1572" s="1"/>
    </row>
    <row r="1573" spans="1:10" x14ac:dyDescent="0.2">
      <c r="A1573" s="1"/>
      <c r="B1573" s="1"/>
      <c r="C1573" s="1"/>
      <c r="H1573" s="1"/>
      <c r="I1573" s="1"/>
      <c r="J1573" s="1"/>
    </row>
    <row r="1574" spans="1:10" x14ac:dyDescent="0.2">
      <c r="A1574" s="1"/>
      <c r="B1574" s="1"/>
      <c r="C1574" s="1"/>
      <c r="H1574" s="1"/>
      <c r="I1574" s="1"/>
      <c r="J1574" s="1"/>
    </row>
    <row r="1575" spans="1:10" x14ac:dyDescent="0.2">
      <c r="A1575" s="1"/>
      <c r="B1575" s="1"/>
      <c r="C1575" s="1"/>
      <c r="H1575" s="1"/>
      <c r="I1575" s="1"/>
      <c r="J1575" s="1"/>
    </row>
    <row r="1576" spans="1:10" x14ac:dyDescent="0.2">
      <c r="A1576" s="1"/>
      <c r="B1576" s="1"/>
      <c r="C1576" s="1"/>
      <c r="H1576" s="1"/>
      <c r="I1576" s="1"/>
      <c r="J1576" s="1"/>
    </row>
    <row r="1577" spans="1:10" x14ac:dyDescent="0.2">
      <c r="A1577" s="1"/>
      <c r="B1577" s="1"/>
      <c r="C1577" s="1"/>
      <c r="H1577" s="1"/>
      <c r="I1577" s="1"/>
      <c r="J1577" s="1"/>
    </row>
    <row r="1578" spans="1:10" x14ac:dyDescent="0.2">
      <c r="A1578" s="1"/>
      <c r="B1578" s="1"/>
      <c r="C1578" s="1"/>
      <c r="H1578" s="1"/>
      <c r="I1578" s="1"/>
      <c r="J1578" s="1"/>
    </row>
    <row r="1579" spans="1:10" x14ac:dyDescent="0.2">
      <c r="A1579" s="1"/>
      <c r="B1579" s="1"/>
      <c r="C1579" s="1"/>
      <c r="H1579" s="1"/>
      <c r="I1579" s="1"/>
      <c r="J1579" s="1"/>
    </row>
    <row r="1580" spans="1:10" x14ac:dyDescent="0.2">
      <c r="A1580" s="1"/>
      <c r="B1580" s="1"/>
      <c r="C1580" s="1"/>
      <c r="H1580" s="1"/>
      <c r="I1580" s="1"/>
      <c r="J1580" s="1"/>
    </row>
    <row r="1581" spans="1:10" x14ac:dyDescent="0.2">
      <c r="A1581" s="1"/>
      <c r="B1581" s="1"/>
      <c r="C1581" s="1"/>
      <c r="H1581" s="1"/>
      <c r="I1581" s="1"/>
      <c r="J1581" s="1"/>
    </row>
    <row r="1582" spans="1:10" x14ac:dyDescent="0.2">
      <c r="A1582" s="1"/>
      <c r="B1582" s="1"/>
      <c r="C1582" s="1"/>
      <c r="H1582" s="1"/>
      <c r="I1582" s="1"/>
      <c r="J1582" s="1"/>
    </row>
    <row r="1583" spans="1:10" x14ac:dyDescent="0.2">
      <c r="A1583" s="1"/>
      <c r="B1583" s="1"/>
      <c r="C1583" s="1"/>
      <c r="H1583" s="1"/>
      <c r="I1583" s="1"/>
      <c r="J1583" s="1"/>
    </row>
    <row r="1584" spans="1:10" x14ac:dyDescent="0.2">
      <c r="A1584" s="1"/>
      <c r="B1584" s="1"/>
      <c r="C1584" s="1"/>
      <c r="H1584" s="1"/>
      <c r="I1584" s="1"/>
      <c r="J1584" s="1"/>
    </row>
    <row r="1585" spans="1:10" x14ac:dyDescent="0.2">
      <c r="A1585" s="1"/>
      <c r="B1585" s="1"/>
      <c r="C1585" s="1"/>
      <c r="H1585" s="1"/>
      <c r="I1585" s="1"/>
      <c r="J1585" s="1"/>
    </row>
    <row r="1586" spans="1:10" x14ac:dyDescent="0.2">
      <c r="A1586" s="1"/>
      <c r="B1586" s="1"/>
      <c r="C1586" s="1"/>
      <c r="H1586" s="1"/>
      <c r="I1586" s="1"/>
      <c r="J1586" s="1"/>
    </row>
    <row r="1587" spans="1:10" x14ac:dyDescent="0.2">
      <c r="A1587" s="1"/>
      <c r="B1587" s="1"/>
      <c r="C1587" s="1"/>
      <c r="H1587" s="1"/>
      <c r="I1587" s="1"/>
      <c r="J1587" s="1"/>
    </row>
    <row r="1588" spans="1:10" x14ac:dyDescent="0.2">
      <c r="A1588" s="1"/>
      <c r="B1588" s="1"/>
      <c r="C1588" s="1"/>
      <c r="H1588" s="1"/>
      <c r="I1588" s="1"/>
      <c r="J1588" s="1"/>
    </row>
    <row r="1589" spans="1:10" x14ac:dyDescent="0.2">
      <c r="A1589" s="1"/>
      <c r="B1589" s="1"/>
      <c r="C1589" s="1"/>
      <c r="H1589" s="1"/>
      <c r="I1589" s="1"/>
      <c r="J1589" s="1"/>
    </row>
    <row r="1590" spans="1:10" x14ac:dyDescent="0.2">
      <c r="A1590" s="1"/>
      <c r="B1590" s="1"/>
      <c r="C1590" s="1"/>
      <c r="H1590" s="1"/>
      <c r="I1590" s="1"/>
      <c r="J1590" s="1"/>
    </row>
    <row r="1591" spans="1:10" x14ac:dyDescent="0.2">
      <c r="A1591" s="1"/>
      <c r="B1591" s="1"/>
      <c r="C1591" s="1"/>
      <c r="H1591" s="1"/>
      <c r="I1591" s="1"/>
      <c r="J1591" s="1"/>
    </row>
    <row r="1592" spans="1:10" x14ac:dyDescent="0.2">
      <c r="A1592" s="1"/>
      <c r="B1592" s="1"/>
      <c r="C1592" s="1"/>
      <c r="H1592" s="1"/>
      <c r="I1592" s="1"/>
      <c r="J1592" s="1"/>
    </row>
    <row r="1593" spans="1:10" x14ac:dyDescent="0.2">
      <c r="A1593" s="1"/>
      <c r="B1593" s="1"/>
      <c r="C1593" s="1"/>
      <c r="H1593" s="1"/>
      <c r="I1593" s="1"/>
      <c r="J1593" s="1"/>
    </row>
    <row r="1594" spans="1:10" x14ac:dyDescent="0.2">
      <c r="A1594" s="1"/>
      <c r="B1594" s="1"/>
      <c r="C1594" s="1"/>
      <c r="H1594" s="1"/>
      <c r="I1594" s="1"/>
      <c r="J1594" s="1"/>
    </row>
    <row r="1595" spans="1:10" x14ac:dyDescent="0.2">
      <c r="A1595" s="1"/>
      <c r="B1595" s="1"/>
      <c r="C1595" s="1"/>
      <c r="H1595" s="1"/>
      <c r="I1595" s="1"/>
      <c r="J1595" s="1"/>
    </row>
    <row r="1596" spans="1:10" x14ac:dyDescent="0.2">
      <c r="A1596" s="1"/>
      <c r="B1596" s="1"/>
      <c r="C1596" s="1"/>
      <c r="H1596" s="1"/>
      <c r="I1596" s="1"/>
      <c r="J1596" s="1"/>
    </row>
    <row r="1597" spans="1:10" x14ac:dyDescent="0.2">
      <c r="A1597" s="1"/>
      <c r="B1597" s="1"/>
      <c r="C1597" s="1"/>
      <c r="H1597" s="1"/>
      <c r="I1597" s="1"/>
      <c r="J1597" s="1"/>
    </row>
    <row r="1598" spans="1:10" x14ac:dyDescent="0.2">
      <c r="A1598" s="1"/>
      <c r="B1598" s="1"/>
      <c r="C1598" s="1"/>
      <c r="H1598" s="1"/>
      <c r="I1598" s="1"/>
      <c r="J1598" s="1"/>
    </row>
    <row r="1599" spans="1:10" x14ac:dyDescent="0.2">
      <c r="A1599" s="1"/>
      <c r="B1599" s="1"/>
      <c r="C1599" s="1"/>
      <c r="H1599" s="1"/>
      <c r="I1599" s="1"/>
      <c r="J1599" s="1"/>
    </row>
    <row r="1600" spans="1:10" x14ac:dyDescent="0.2">
      <c r="A1600" s="1"/>
      <c r="B1600" s="1"/>
      <c r="C1600" s="1"/>
      <c r="H1600" s="1"/>
      <c r="I1600" s="1"/>
      <c r="J1600" s="1"/>
    </row>
    <row r="1601" spans="1:10" x14ac:dyDescent="0.2">
      <c r="A1601" s="1"/>
      <c r="B1601" s="1"/>
      <c r="C1601" s="1"/>
      <c r="H1601" s="1"/>
      <c r="I1601" s="1"/>
      <c r="J1601" s="1"/>
    </row>
    <row r="1602" spans="1:10" x14ac:dyDescent="0.2">
      <c r="A1602" s="1"/>
      <c r="B1602" s="1"/>
      <c r="C1602" s="1"/>
      <c r="H1602" s="1"/>
      <c r="I1602" s="1"/>
      <c r="J1602" s="1"/>
    </row>
    <row r="1603" spans="1:10" x14ac:dyDescent="0.2">
      <c r="A1603" s="1"/>
      <c r="B1603" s="1"/>
      <c r="C1603" s="1"/>
      <c r="H1603" s="1"/>
      <c r="I1603" s="1"/>
      <c r="J1603" s="1"/>
    </row>
    <row r="1604" spans="1:10" x14ac:dyDescent="0.2">
      <c r="A1604" s="1"/>
      <c r="B1604" s="1"/>
      <c r="C1604" s="1"/>
      <c r="H1604" s="1"/>
      <c r="I1604" s="1"/>
      <c r="J1604" s="1"/>
    </row>
    <row r="1605" spans="1:10" x14ac:dyDescent="0.2">
      <c r="A1605" s="1"/>
      <c r="B1605" s="1"/>
      <c r="C1605" s="1"/>
      <c r="H1605" s="1"/>
      <c r="I1605" s="1"/>
      <c r="J1605" s="1"/>
    </row>
    <row r="1606" spans="1:10" x14ac:dyDescent="0.2">
      <c r="A1606" s="1"/>
      <c r="B1606" s="1"/>
      <c r="C1606" s="1"/>
      <c r="H1606" s="1"/>
      <c r="I1606" s="1"/>
      <c r="J1606" s="1"/>
    </row>
    <row r="1607" spans="1:10" x14ac:dyDescent="0.2">
      <c r="A1607" s="1"/>
      <c r="B1607" s="1"/>
      <c r="C1607" s="1"/>
      <c r="H1607" s="1"/>
      <c r="I1607" s="1"/>
      <c r="J1607" s="1"/>
    </row>
    <row r="1608" spans="1:10" x14ac:dyDescent="0.2">
      <c r="A1608" s="1"/>
      <c r="B1608" s="1"/>
      <c r="C1608" s="1"/>
      <c r="H1608" s="1"/>
      <c r="I1608" s="1"/>
      <c r="J1608" s="1"/>
    </row>
    <row r="1609" spans="1:10" x14ac:dyDescent="0.2">
      <c r="A1609" s="1"/>
      <c r="B1609" s="1"/>
      <c r="C1609" s="1"/>
      <c r="H1609" s="1"/>
      <c r="I1609" s="1"/>
      <c r="J1609" s="1"/>
    </row>
    <row r="1610" spans="1:10" x14ac:dyDescent="0.2">
      <c r="A1610" s="1"/>
      <c r="B1610" s="1"/>
      <c r="C1610" s="1"/>
      <c r="H1610" s="1"/>
      <c r="I1610" s="1"/>
      <c r="J1610" s="1"/>
    </row>
    <row r="1611" spans="1:10" x14ac:dyDescent="0.2">
      <c r="A1611" s="1"/>
      <c r="B1611" s="1"/>
      <c r="C1611" s="1"/>
      <c r="H1611" s="1"/>
      <c r="I1611" s="1"/>
      <c r="J1611" s="1"/>
    </row>
    <row r="1612" spans="1:10" x14ac:dyDescent="0.2">
      <c r="A1612" s="1"/>
      <c r="B1612" s="1"/>
      <c r="C1612" s="1"/>
      <c r="H1612" s="1"/>
      <c r="I1612" s="1"/>
      <c r="J1612" s="1"/>
    </row>
    <row r="1613" spans="1:10" x14ac:dyDescent="0.2">
      <c r="A1613" s="1"/>
      <c r="B1613" s="1"/>
      <c r="C1613" s="1"/>
      <c r="H1613" s="1"/>
      <c r="I1613" s="1"/>
      <c r="J1613" s="1"/>
    </row>
    <row r="1614" spans="1:10" x14ac:dyDescent="0.2">
      <c r="A1614" s="1"/>
      <c r="B1614" s="1"/>
      <c r="C1614" s="1"/>
      <c r="H1614" s="1"/>
      <c r="I1614" s="1"/>
      <c r="J1614" s="1"/>
    </row>
    <row r="1615" spans="1:10" x14ac:dyDescent="0.2">
      <c r="A1615" s="1"/>
      <c r="B1615" s="1"/>
      <c r="C1615" s="1"/>
      <c r="H1615" s="1"/>
      <c r="I1615" s="1"/>
      <c r="J1615" s="1"/>
    </row>
    <row r="1616" spans="1:10" x14ac:dyDescent="0.2">
      <c r="A1616" s="1"/>
      <c r="B1616" s="1"/>
      <c r="C1616" s="1"/>
      <c r="H1616" s="1"/>
      <c r="I1616" s="1"/>
      <c r="J1616" s="1"/>
    </row>
    <row r="1617" spans="1:10" x14ac:dyDescent="0.2">
      <c r="A1617" s="1"/>
      <c r="B1617" s="1"/>
      <c r="C1617" s="1"/>
      <c r="H1617" s="1"/>
      <c r="I1617" s="1"/>
      <c r="J1617" s="1"/>
    </row>
    <row r="1618" spans="1:10" x14ac:dyDescent="0.2">
      <c r="A1618" s="1"/>
      <c r="B1618" s="1"/>
      <c r="C1618" s="1"/>
      <c r="H1618" s="1"/>
      <c r="I1618" s="1"/>
      <c r="J1618" s="1"/>
    </row>
    <row r="1619" spans="1:10" x14ac:dyDescent="0.2">
      <c r="A1619" s="1"/>
      <c r="B1619" s="1"/>
      <c r="C1619" s="1"/>
      <c r="H1619" s="1"/>
      <c r="I1619" s="1"/>
      <c r="J1619" s="1"/>
    </row>
    <row r="1620" spans="1:10" x14ac:dyDescent="0.2">
      <c r="A1620" s="1"/>
      <c r="B1620" s="1"/>
      <c r="C1620" s="1"/>
      <c r="H1620" s="1"/>
      <c r="I1620" s="1"/>
      <c r="J1620" s="1"/>
    </row>
    <row r="1621" spans="1:10" x14ac:dyDescent="0.2">
      <c r="A1621" s="1"/>
      <c r="B1621" s="1"/>
      <c r="C1621" s="1"/>
      <c r="H1621" s="1"/>
      <c r="I1621" s="1"/>
      <c r="J1621" s="1"/>
    </row>
    <row r="1622" spans="1:10" x14ac:dyDescent="0.2">
      <c r="A1622" s="1"/>
      <c r="B1622" s="1"/>
      <c r="C1622" s="1"/>
      <c r="H1622" s="1"/>
      <c r="I1622" s="1"/>
      <c r="J1622" s="1"/>
    </row>
    <row r="1623" spans="1:10" x14ac:dyDescent="0.2">
      <c r="A1623" s="1"/>
      <c r="B1623" s="1"/>
      <c r="C1623" s="1"/>
      <c r="H1623" s="1"/>
      <c r="I1623" s="1"/>
      <c r="J1623" s="1"/>
    </row>
    <row r="1624" spans="1:10" x14ac:dyDescent="0.2">
      <c r="A1624" s="1"/>
      <c r="B1624" s="1"/>
      <c r="C1624" s="1"/>
      <c r="H1624" s="1"/>
      <c r="I1624" s="1"/>
      <c r="J1624" s="1"/>
    </row>
    <row r="1625" spans="1:10" x14ac:dyDescent="0.2">
      <c r="A1625" s="1"/>
      <c r="B1625" s="1"/>
      <c r="C1625" s="1"/>
      <c r="H1625" s="1"/>
      <c r="I1625" s="1"/>
      <c r="J1625" s="1"/>
    </row>
    <row r="1626" spans="1:10" x14ac:dyDescent="0.2">
      <c r="A1626" s="1"/>
      <c r="B1626" s="1"/>
      <c r="C1626" s="1"/>
      <c r="H1626" s="1"/>
      <c r="I1626" s="1"/>
      <c r="J1626" s="1"/>
    </row>
    <row r="1627" spans="1:10" x14ac:dyDescent="0.2">
      <c r="A1627" s="1"/>
      <c r="B1627" s="1"/>
      <c r="C1627" s="1"/>
      <c r="H1627" s="1"/>
      <c r="I1627" s="1"/>
      <c r="J1627" s="1"/>
    </row>
    <row r="1628" spans="1:10" x14ac:dyDescent="0.2">
      <c r="A1628" s="1"/>
      <c r="B1628" s="1"/>
      <c r="C1628" s="1"/>
      <c r="H1628" s="1"/>
      <c r="I1628" s="1"/>
      <c r="J1628" s="1"/>
    </row>
    <row r="1629" spans="1:10" x14ac:dyDescent="0.2">
      <c r="A1629" s="1"/>
      <c r="B1629" s="1"/>
      <c r="C1629" s="1"/>
      <c r="H1629" s="1"/>
      <c r="I1629" s="1"/>
      <c r="J1629" s="1"/>
    </row>
    <row r="1630" spans="1:10" x14ac:dyDescent="0.2">
      <c r="A1630" s="1"/>
      <c r="B1630" s="1"/>
      <c r="C1630" s="1"/>
      <c r="H1630" s="1"/>
      <c r="I1630" s="1"/>
      <c r="J1630" s="1"/>
    </row>
    <row r="1631" spans="1:10" x14ac:dyDescent="0.2">
      <c r="A1631" s="1"/>
      <c r="B1631" s="1"/>
      <c r="C1631" s="1"/>
      <c r="H1631" s="1"/>
      <c r="I1631" s="1"/>
      <c r="J1631" s="1"/>
    </row>
    <row r="1632" spans="1:10" x14ac:dyDescent="0.2">
      <c r="A1632" s="1"/>
      <c r="B1632" s="1"/>
      <c r="C1632" s="1"/>
      <c r="H1632" s="1"/>
      <c r="I1632" s="1"/>
      <c r="J1632" s="1"/>
    </row>
    <row r="1633" spans="1:10" x14ac:dyDescent="0.2">
      <c r="A1633" s="1"/>
      <c r="B1633" s="1"/>
      <c r="C1633" s="1"/>
      <c r="H1633" s="1"/>
      <c r="I1633" s="1"/>
      <c r="J1633" s="1"/>
    </row>
    <row r="1634" spans="1:10" x14ac:dyDescent="0.2">
      <c r="A1634" s="1"/>
      <c r="B1634" s="1"/>
      <c r="C1634" s="1"/>
      <c r="H1634" s="1"/>
      <c r="I1634" s="1"/>
      <c r="J1634" s="1"/>
    </row>
    <row r="1635" spans="1:10" x14ac:dyDescent="0.2">
      <c r="A1635" s="1"/>
      <c r="B1635" s="1"/>
      <c r="C1635" s="1"/>
      <c r="H1635" s="1"/>
      <c r="I1635" s="1"/>
      <c r="J1635" s="1"/>
    </row>
    <row r="1636" spans="1:10" x14ac:dyDescent="0.2">
      <c r="A1636" s="1"/>
      <c r="B1636" s="1"/>
      <c r="C1636" s="1"/>
      <c r="H1636" s="1"/>
      <c r="I1636" s="1"/>
      <c r="J1636" s="1"/>
    </row>
    <row r="1637" spans="1:10" x14ac:dyDescent="0.2">
      <c r="A1637" s="1"/>
      <c r="B1637" s="1"/>
      <c r="C1637" s="1"/>
      <c r="H1637" s="1"/>
      <c r="I1637" s="1"/>
      <c r="J1637" s="1"/>
    </row>
    <row r="1638" spans="1:10" x14ac:dyDescent="0.2">
      <c r="A1638" s="1"/>
      <c r="B1638" s="1"/>
      <c r="C1638" s="1"/>
      <c r="H1638" s="1"/>
      <c r="I1638" s="1"/>
      <c r="J1638" s="1"/>
    </row>
    <row r="1639" spans="1:10" x14ac:dyDescent="0.2">
      <c r="A1639" s="1"/>
      <c r="B1639" s="1"/>
      <c r="C1639" s="1"/>
      <c r="H1639" s="1"/>
      <c r="I1639" s="1"/>
      <c r="J1639" s="1"/>
    </row>
    <row r="1640" spans="1:10" x14ac:dyDescent="0.2">
      <c r="A1640" s="1"/>
      <c r="B1640" s="1"/>
      <c r="C1640" s="1"/>
      <c r="H1640" s="1"/>
      <c r="I1640" s="1"/>
      <c r="J1640" s="1"/>
    </row>
    <row r="1641" spans="1:10" x14ac:dyDescent="0.2">
      <c r="A1641" s="1"/>
      <c r="B1641" s="1"/>
      <c r="C1641" s="1"/>
      <c r="H1641" s="1"/>
      <c r="I1641" s="1"/>
      <c r="J1641" s="1"/>
    </row>
    <row r="1642" spans="1:10" x14ac:dyDescent="0.2">
      <c r="A1642" s="1"/>
      <c r="B1642" s="1"/>
      <c r="C1642" s="1"/>
      <c r="H1642" s="1"/>
      <c r="I1642" s="1"/>
      <c r="J1642" s="1"/>
    </row>
    <row r="1643" spans="1:10" x14ac:dyDescent="0.2">
      <c r="A1643" s="1"/>
      <c r="B1643" s="1"/>
      <c r="C1643" s="1"/>
      <c r="H1643" s="1"/>
      <c r="I1643" s="1"/>
      <c r="J1643" s="1"/>
    </row>
    <row r="1644" spans="1:10" x14ac:dyDescent="0.2">
      <c r="A1644" s="1"/>
      <c r="B1644" s="1"/>
      <c r="C1644" s="1"/>
      <c r="H1644" s="1"/>
      <c r="I1644" s="1"/>
      <c r="J1644" s="1"/>
    </row>
    <row r="1645" spans="1:10" x14ac:dyDescent="0.2">
      <c r="A1645" s="1"/>
      <c r="B1645" s="1"/>
      <c r="C1645" s="1"/>
      <c r="H1645" s="1"/>
      <c r="I1645" s="1"/>
      <c r="J1645" s="1"/>
    </row>
    <row r="1646" spans="1:10" x14ac:dyDescent="0.2">
      <c r="A1646" s="1"/>
      <c r="B1646" s="1"/>
      <c r="C1646" s="1"/>
      <c r="H1646" s="1"/>
      <c r="I1646" s="1"/>
      <c r="J1646" s="1"/>
    </row>
    <row r="1647" spans="1:10" x14ac:dyDescent="0.2">
      <c r="A1647" s="1"/>
      <c r="B1647" s="1"/>
      <c r="C1647" s="1"/>
      <c r="H1647" s="1"/>
      <c r="I1647" s="1"/>
      <c r="J1647" s="1"/>
    </row>
    <row r="1648" spans="1:10" x14ac:dyDescent="0.2">
      <c r="A1648" s="1"/>
      <c r="B1648" s="1"/>
      <c r="C1648" s="1"/>
      <c r="H1648" s="1"/>
      <c r="I1648" s="1"/>
      <c r="J1648" s="1"/>
    </row>
    <row r="1649" spans="1:10" x14ac:dyDescent="0.2">
      <c r="A1649" s="1"/>
      <c r="B1649" s="1"/>
      <c r="C1649" s="1"/>
      <c r="H1649" s="1"/>
      <c r="I1649" s="1"/>
      <c r="J1649" s="1"/>
    </row>
    <row r="1650" spans="1:10" x14ac:dyDescent="0.2">
      <c r="A1650" s="1"/>
      <c r="B1650" s="1"/>
      <c r="C1650" s="1"/>
      <c r="H1650" s="1"/>
      <c r="I1650" s="1"/>
      <c r="J1650" s="1"/>
    </row>
    <row r="1651" spans="1:10" x14ac:dyDescent="0.2">
      <c r="A1651" s="1"/>
      <c r="B1651" s="1"/>
      <c r="C1651" s="1"/>
      <c r="H1651" s="1"/>
      <c r="I1651" s="1"/>
      <c r="J1651" s="1"/>
    </row>
    <row r="1652" spans="1:10" x14ac:dyDescent="0.2">
      <c r="A1652" s="1"/>
      <c r="B1652" s="1"/>
      <c r="C1652" s="1"/>
      <c r="H1652" s="1"/>
      <c r="I1652" s="1"/>
      <c r="J1652" s="1"/>
    </row>
    <row r="1653" spans="1:10" x14ac:dyDescent="0.2">
      <c r="A1653" s="1"/>
      <c r="B1653" s="1"/>
      <c r="C1653" s="1"/>
      <c r="H1653" s="1"/>
      <c r="I1653" s="1"/>
      <c r="J1653" s="1"/>
    </row>
    <row r="1654" spans="1:10" x14ac:dyDescent="0.2">
      <c r="A1654" s="1"/>
      <c r="B1654" s="1"/>
      <c r="C1654" s="1"/>
      <c r="H1654" s="1"/>
      <c r="I1654" s="1"/>
      <c r="J1654" s="1"/>
    </row>
    <row r="1655" spans="1:10" x14ac:dyDescent="0.2">
      <c r="A1655" s="1"/>
      <c r="B1655" s="1"/>
      <c r="C1655" s="1"/>
      <c r="H1655" s="1"/>
      <c r="I1655" s="1"/>
      <c r="J1655" s="1"/>
    </row>
    <row r="1656" spans="1:10" x14ac:dyDescent="0.2">
      <c r="A1656" s="1"/>
      <c r="B1656" s="1"/>
      <c r="C1656" s="1"/>
      <c r="H1656" s="1"/>
      <c r="I1656" s="1"/>
      <c r="J1656" s="1"/>
    </row>
    <row r="1657" spans="1:10" x14ac:dyDescent="0.2">
      <c r="A1657" s="1"/>
      <c r="B1657" s="1"/>
      <c r="C1657" s="1"/>
      <c r="H1657" s="1"/>
      <c r="I1657" s="1"/>
      <c r="J1657" s="1"/>
    </row>
    <row r="1658" spans="1:10" x14ac:dyDescent="0.2">
      <c r="A1658" s="1"/>
      <c r="B1658" s="1"/>
      <c r="C1658" s="1"/>
      <c r="H1658" s="1"/>
      <c r="I1658" s="1"/>
      <c r="J1658" s="1"/>
    </row>
    <row r="1659" spans="1:10" x14ac:dyDescent="0.2">
      <c r="A1659" s="1"/>
      <c r="B1659" s="1"/>
      <c r="C1659" s="1"/>
      <c r="H1659" s="1"/>
      <c r="I1659" s="1"/>
      <c r="J1659" s="1"/>
    </row>
    <row r="1660" spans="1:10" x14ac:dyDescent="0.2">
      <c r="A1660" s="1"/>
      <c r="B1660" s="1"/>
      <c r="C1660" s="1"/>
      <c r="H1660" s="1"/>
      <c r="I1660" s="1"/>
      <c r="J1660" s="1"/>
    </row>
    <row r="1661" spans="1:10" x14ac:dyDescent="0.2">
      <c r="A1661" s="1"/>
      <c r="B1661" s="1"/>
      <c r="C1661" s="1"/>
      <c r="H1661" s="1"/>
      <c r="I1661" s="1"/>
      <c r="J1661" s="1"/>
    </row>
    <row r="1662" spans="1:10" x14ac:dyDescent="0.2">
      <c r="A1662" s="1"/>
      <c r="B1662" s="1"/>
      <c r="C1662" s="1"/>
      <c r="H1662" s="1"/>
      <c r="I1662" s="1"/>
      <c r="J1662" s="1"/>
    </row>
    <row r="1663" spans="1:10" x14ac:dyDescent="0.2">
      <c r="A1663" s="1"/>
      <c r="B1663" s="1"/>
      <c r="C1663" s="1"/>
      <c r="H1663" s="1"/>
      <c r="I1663" s="1"/>
      <c r="J1663" s="1"/>
    </row>
    <row r="1664" spans="1:10" x14ac:dyDescent="0.2">
      <c r="A1664" s="1"/>
      <c r="B1664" s="1"/>
      <c r="C1664" s="1"/>
      <c r="H1664" s="1"/>
      <c r="I1664" s="1"/>
      <c r="J1664" s="1"/>
    </row>
    <row r="1665" spans="1:10" x14ac:dyDescent="0.2">
      <c r="A1665" s="1"/>
      <c r="B1665" s="1"/>
      <c r="C1665" s="1"/>
      <c r="H1665" s="1"/>
      <c r="I1665" s="1"/>
      <c r="J1665" s="1"/>
    </row>
    <row r="1666" spans="1:10" x14ac:dyDescent="0.2">
      <c r="A1666" s="1"/>
      <c r="B1666" s="1"/>
      <c r="C1666" s="1"/>
      <c r="H1666" s="1"/>
      <c r="I1666" s="1"/>
      <c r="J1666" s="1"/>
    </row>
    <row r="1667" spans="1:10" x14ac:dyDescent="0.2">
      <c r="A1667" s="1"/>
      <c r="B1667" s="1"/>
      <c r="C1667" s="1"/>
      <c r="H1667" s="1"/>
      <c r="I1667" s="1"/>
      <c r="J1667" s="1"/>
    </row>
    <row r="1668" spans="1:10" x14ac:dyDescent="0.2">
      <c r="A1668" s="1"/>
      <c r="B1668" s="1"/>
      <c r="C1668" s="1"/>
      <c r="H1668" s="1"/>
      <c r="I1668" s="1"/>
      <c r="J1668" s="1"/>
    </row>
    <row r="1669" spans="1:10" x14ac:dyDescent="0.2">
      <c r="A1669" s="1"/>
      <c r="B1669" s="1"/>
      <c r="C1669" s="1"/>
      <c r="H1669" s="1"/>
      <c r="I1669" s="1"/>
      <c r="J1669" s="1"/>
    </row>
    <row r="1670" spans="1:10" x14ac:dyDescent="0.2">
      <c r="A1670" s="1"/>
      <c r="B1670" s="1"/>
      <c r="C1670" s="1"/>
      <c r="H1670" s="1"/>
      <c r="I1670" s="1"/>
      <c r="J1670" s="1"/>
    </row>
    <row r="1671" spans="1:10" x14ac:dyDescent="0.2">
      <c r="A1671" s="1"/>
      <c r="B1671" s="1"/>
      <c r="C1671" s="1"/>
      <c r="H1671" s="1"/>
      <c r="I1671" s="1"/>
      <c r="J1671" s="1"/>
    </row>
    <row r="1672" spans="1:10" x14ac:dyDescent="0.2">
      <c r="A1672" s="1"/>
      <c r="B1672" s="1"/>
      <c r="C1672" s="1"/>
      <c r="H1672" s="1"/>
      <c r="I1672" s="1"/>
      <c r="J1672" s="1"/>
    </row>
    <row r="1673" spans="1:10" x14ac:dyDescent="0.2">
      <c r="A1673" s="1"/>
      <c r="B1673" s="1"/>
      <c r="C1673" s="1"/>
      <c r="H1673" s="1"/>
      <c r="I1673" s="1"/>
      <c r="J1673" s="1"/>
    </row>
    <row r="1674" spans="1:10" x14ac:dyDescent="0.2">
      <c r="A1674" s="1"/>
      <c r="B1674" s="1"/>
      <c r="C1674" s="1"/>
      <c r="H1674" s="1"/>
      <c r="I1674" s="1"/>
      <c r="J1674" s="1"/>
    </row>
    <row r="1675" spans="1:10" x14ac:dyDescent="0.2">
      <c r="A1675" s="1"/>
      <c r="B1675" s="1"/>
      <c r="C1675" s="1"/>
      <c r="H1675" s="1"/>
      <c r="I1675" s="1"/>
      <c r="J1675" s="1"/>
    </row>
    <row r="1676" spans="1:10" x14ac:dyDescent="0.2">
      <c r="A1676" s="1"/>
      <c r="B1676" s="1"/>
      <c r="C1676" s="1"/>
      <c r="H1676" s="1"/>
      <c r="I1676" s="1"/>
      <c r="J1676" s="1"/>
    </row>
    <row r="1677" spans="1:10" x14ac:dyDescent="0.2">
      <c r="A1677" s="1"/>
      <c r="B1677" s="1"/>
      <c r="C1677" s="1"/>
      <c r="H1677" s="1"/>
      <c r="I1677" s="1"/>
      <c r="J1677" s="1"/>
    </row>
    <row r="1678" spans="1:10" x14ac:dyDescent="0.2">
      <c r="A1678" s="1"/>
      <c r="B1678" s="1"/>
      <c r="C1678" s="1"/>
      <c r="H1678" s="1"/>
      <c r="I1678" s="1"/>
      <c r="J1678" s="1"/>
    </row>
    <row r="1679" spans="1:10" x14ac:dyDescent="0.2">
      <c r="A1679" s="1"/>
      <c r="B1679" s="1"/>
      <c r="C1679" s="1"/>
      <c r="H1679" s="1"/>
      <c r="I1679" s="1"/>
      <c r="J1679" s="1"/>
    </row>
    <row r="1680" spans="1:10" x14ac:dyDescent="0.2">
      <c r="A1680" s="1"/>
      <c r="B1680" s="1"/>
      <c r="C1680" s="1"/>
      <c r="H1680" s="1"/>
      <c r="I1680" s="1"/>
      <c r="J1680" s="1"/>
    </row>
    <row r="1681" spans="1:10" x14ac:dyDescent="0.2">
      <c r="A1681" s="1"/>
      <c r="B1681" s="1"/>
      <c r="C1681" s="1"/>
      <c r="H1681" s="1"/>
      <c r="I1681" s="1"/>
      <c r="J1681" s="1"/>
    </row>
    <row r="1682" spans="1:10" x14ac:dyDescent="0.2">
      <c r="A1682" s="1"/>
      <c r="B1682" s="1"/>
      <c r="C1682" s="1"/>
      <c r="H1682" s="1"/>
      <c r="I1682" s="1"/>
      <c r="J1682" s="1"/>
    </row>
    <row r="1683" spans="1:10" x14ac:dyDescent="0.2">
      <c r="A1683" s="1"/>
      <c r="B1683" s="1"/>
      <c r="C1683" s="1"/>
      <c r="H1683" s="1"/>
      <c r="I1683" s="1"/>
      <c r="J1683" s="1"/>
    </row>
    <row r="1684" spans="1:10" x14ac:dyDescent="0.2">
      <c r="A1684" s="1"/>
      <c r="B1684" s="1"/>
      <c r="C1684" s="1"/>
      <c r="H1684" s="1"/>
      <c r="I1684" s="1"/>
      <c r="J1684" s="1"/>
    </row>
    <row r="1685" spans="1:10" x14ac:dyDescent="0.2">
      <c r="A1685" s="1"/>
      <c r="B1685" s="1"/>
      <c r="C1685" s="1"/>
      <c r="H1685" s="1"/>
      <c r="I1685" s="1"/>
      <c r="J1685" s="1"/>
    </row>
    <row r="1686" spans="1:10" x14ac:dyDescent="0.2">
      <c r="A1686" s="1"/>
      <c r="B1686" s="1"/>
      <c r="C1686" s="1"/>
      <c r="H1686" s="1"/>
      <c r="I1686" s="1"/>
      <c r="J1686" s="1"/>
    </row>
    <row r="1687" spans="1:10" x14ac:dyDescent="0.2">
      <c r="A1687" s="1"/>
      <c r="B1687" s="1"/>
      <c r="C1687" s="1"/>
      <c r="H1687" s="1"/>
      <c r="I1687" s="1"/>
      <c r="J1687" s="1"/>
    </row>
    <row r="1688" spans="1:10" x14ac:dyDescent="0.2">
      <c r="A1688" s="1"/>
      <c r="B1688" s="1"/>
      <c r="C1688" s="1"/>
      <c r="H1688" s="1"/>
      <c r="I1688" s="1"/>
      <c r="J1688" s="1"/>
    </row>
    <row r="1689" spans="1:10" x14ac:dyDescent="0.2">
      <c r="A1689" s="1"/>
      <c r="B1689" s="1"/>
      <c r="C1689" s="1"/>
      <c r="H1689" s="1"/>
      <c r="I1689" s="1"/>
      <c r="J1689" s="1"/>
    </row>
    <row r="1690" spans="1:10" x14ac:dyDescent="0.2">
      <c r="A1690" s="1"/>
      <c r="B1690" s="1"/>
      <c r="C1690" s="1"/>
      <c r="H1690" s="1"/>
      <c r="I1690" s="1"/>
      <c r="J1690" s="1"/>
    </row>
    <row r="1691" spans="1:10" x14ac:dyDescent="0.2">
      <c r="A1691" s="1"/>
      <c r="B1691" s="1"/>
      <c r="C1691" s="1"/>
      <c r="H1691" s="1"/>
      <c r="I1691" s="1"/>
      <c r="J1691" s="1"/>
    </row>
    <row r="1692" spans="1:10" x14ac:dyDescent="0.2">
      <c r="A1692" s="1"/>
      <c r="B1692" s="1"/>
      <c r="C1692" s="1"/>
      <c r="H1692" s="1"/>
      <c r="I1692" s="1"/>
      <c r="J1692" s="1"/>
    </row>
    <row r="1693" spans="1:10" x14ac:dyDescent="0.2">
      <c r="A1693" s="1"/>
      <c r="B1693" s="1"/>
      <c r="C1693" s="1"/>
      <c r="H1693" s="1"/>
      <c r="I1693" s="1"/>
      <c r="J1693" s="1"/>
    </row>
    <row r="1694" spans="1:10" x14ac:dyDescent="0.2">
      <c r="A1694" s="1"/>
      <c r="B1694" s="1"/>
      <c r="C1694" s="1"/>
      <c r="H1694" s="1"/>
      <c r="I1694" s="1"/>
      <c r="J1694" s="1"/>
    </row>
    <row r="1695" spans="1:10" x14ac:dyDescent="0.2">
      <c r="A1695" s="1"/>
      <c r="B1695" s="1"/>
      <c r="C1695" s="1"/>
      <c r="H1695" s="1"/>
      <c r="I1695" s="1"/>
      <c r="J1695" s="1"/>
    </row>
    <row r="1696" spans="1:10" x14ac:dyDescent="0.2">
      <c r="A1696" s="1"/>
      <c r="B1696" s="1"/>
      <c r="C1696" s="1"/>
      <c r="H1696" s="1"/>
      <c r="I1696" s="1"/>
      <c r="J1696" s="1"/>
    </row>
    <row r="1697" spans="1:10" x14ac:dyDescent="0.2">
      <c r="A1697" s="1"/>
      <c r="B1697" s="1"/>
      <c r="C1697" s="1"/>
      <c r="H1697" s="1"/>
      <c r="I1697" s="1"/>
      <c r="J1697" s="1"/>
    </row>
    <row r="1698" spans="1:10" x14ac:dyDescent="0.2">
      <c r="A1698" s="1"/>
      <c r="B1698" s="1"/>
      <c r="C1698" s="1"/>
      <c r="H1698" s="1"/>
      <c r="I1698" s="1"/>
      <c r="J1698" s="1"/>
    </row>
    <row r="1699" spans="1:10" x14ac:dyDescent="0.2">
      <c r="A1699" s="1"/>
      <c r="B1699" s="1"/>
      <c r="C1699" s="1"/>
      <c r="H1699" s="1"/>
      <c r="I1699" s="1"/>
      <c r="J1699" s="1"/>
    </row>
    <row r="1700" spans="1:10" x14ac:dyDescent="0.2">
      <c r="A1700" s="1"/>
      <c r="B1700" s="1"/>
      <c r="C1700" s="1"/>
      <c r="H1700" s="1"/>
      <c r="I1700" s="1"/>
      <c r="J1700" s="1"/>
    </row>
    <row r="1701" spans="1:10" x14ac:dyDescent="0.2">
      <c r="A1701" s="1"/>
      <c r="B1701" s="1"/>
      <c r="C1701" s="1"/>
      <c r="H1701" s="1"/>
      <c r="I1701" s="1"/>
      <c r="J1701" s="1"/>
    </row>
    <row r="1702" spans="1:10" x14ac:dyDescent="0.2">
      <c r="A1702" s="1"/>
      <c r="B1702" s="1"/>
      <c r="C1702" s="1"/>
      <c r="H1702" s="1"/>
      <c r="I1702" s="1"/>
      <c r="J1702" s="1"/>
    </row>
    <row r="1703" spans="1:10" x14ac:dyDescent="0.2">
      <c r="A1703" s="1"/>
      <c r="B1703" s="1"/>
      <c r="C1703" s="1"/>
      <c r="H1703" s="1"/>
      <c r="I1703" s="1"/>
      <c r="J1703" s="1"/>
    </row>
    <row r="1704" spans="1:10" x14ac:dyDescent="0.2">
      <c r="A1704" s="1"/>
      <c r="B1704" s="1"/>
      <c r="C1704" s="1"/>
      <c r="H1704" s="1"/>
      <c r="I1704" s="1"/>
      <c r="J1704" s="1"/>
    </row>
    <row r="1705" spans="1:10" x14ac:dyDescent="0.2">
      <c r="A1705" s="1"/>
      <c r="B1705" s="1"/>
      <c r="C1705" s="1"/>
      <c r="H1705" s="1"/>
      <c r="I1705" s="1"/>
      <c r="J1705" s="1"/>
    </row>
    <row r="1706" spans="1:10" x14ac:dyDescent="0.2">
      <c r="A1706" s="1"/>
      <c r="B1706" s="1"/>
      <c r="C1706" s="1"/>
      <c r="H1706" s="1"/>
      <c r="I1706" s="1"/>
      <c r="J1706" s="1"/>
    </row>
    <row r="1707" spans="1:10" x14ac:dyDescent="0.2">
      <c r="A1707" s="1"/>
      <c r="B1707" s="1"/>
      <c r="C1707" s="1"/>
      <c r="H1707" s="1"/>
      <c r="I1707" s="1"/>
      <c r="J1707" s="1"/>
    </row>
    <row r="1708" spans="1:10" x14ac:dyDescent="0.2">
      <c r="A1708" s="1"/>
      <c r="B1708" s="1"/>
      <c r="C1708" s="1"/>
      <c r="H1708" s="1"/>
      <c r="I1708" s="1"/>
      <c r="J1708" s="1"/>
    </row>
    <row r="1709" spans="1:10" x14ac:dyDescent="0.2">
      <c r="A1709" s="1"/>
      <c r="B1709" s="1"/>
      <c r="C1709" s="1"/>
      <c r="H1709" s="1"/>
      <c r="I1709" s="1"/>
      <c r="J1709" s="1"/>
    </row>
    <row r="1710" spans="1:10" x14ac:dyDescent="0.2">
      <c r="A1710" s="1"/>
      <c r="B1710" s="1"/>
      <c r="C1710" s="1"/>
      <c r="H1710" s="1"/>
      <c r="I1710" s="1"/>
      <c r="J1710" s="1"/>
    </row>
    <row r="1711" spans="1:10" x14ac:dyDescent="0.2">
      <c r="A1711" s="1"/>
      <c r="B1711" s="1"/>
      <c r="C1711" s="1"/>
      <c r="H1711" s="1"/>
      <c r="I1711" s="1"/>
      <c r="J1711" s="1"/>
    </row>
    <row r="1712" spans="1:10" x14ac:dyDescent="0.2">
      <c r="A1712" s="1"/>
      <c r="B1712" s="1"/>
      <c r="C1712" s="1"/>
      <c r="H1712" s="1"/>
      <c r="I1712" s="1"/>
      <c r="J1712" s="1"/>
    </row>
    <row r="1713" spans="1:10" x14ac:dyDescent="0.2">
      <c r="A1713" s="1"/>
      <c r="B1713" s="1"/>
      <c r="C1713" s="1"/>
      <c r="H1713" s="1"/>
      <c r="I1713" s="1"/>
      <c r="J1713" s="1"/>
    </row>
    <row r="1714" spans="1:10" x14ac:dyDescent="0.2">
      <c r="A1714" s="1"/>
      <c r="B1714" s="1"/>
      <c r="C1714" s="1"/>
      <c r="H1714" s="1"/>
      <c r="I1714" s="1"/>
      <c r="J1714" s="1"/>
    </row>
    <row r="1715" spans="1:10" x14ac:dyDescent="0.2">
      <c r="A1715" s="1"/>
      <c r="B1715" s="1"/>
      <c r="C1715" s="1"/>
      <c r="H1715" s="1"/>
      <c r="I1715" s="1"/>
      <c r="J1715" s="1"/>
    </row>
    <row r="1716" spans="1:10" x14ac:dyDescent="0.2">
      <c r="A1716" s="1"/>
      <c r="B1716" s="1"/>
      <c r="C1716" s="1"/>
      <c r="H1716" s="1"/>
      <c r="I1716" s="1"/>
      <c r="J1716" s="1"/>
    </row>
    <row r="1717" spans="1:10" x14ac:dyDescent="0.2">
      <c r="A1717" s="1"/>
      <c r="B1717" s="1"/>
      <c r="C1717" s="1"/>
      <c r="H1717" s="1"/>
      <c r="I1717" s="1"/>
      <c r="J1717" s="1"/>
    </row>
    <row r="1718" spans="1:10" x14ac:dyDescent="0.2">
      <c r="A1718" s="1"/>
      <c r="B1718" s="1"/>
      <c r="C1718" s="1"/>
      <c r="H1718" s="1"/>
      <c r="I1718" s="1"/>
      <c r="J1718" s="1"/>
    </row>
    <row r="1719" spans="1:10" x14ac:dyDescent="0.2">
      <c r="A1719" s="1"/>
      <c r="B1719" s="1"/>
      <c r="C1719" s="1"/>
      <c r="H1719" s="1"/>
      <c r="I1719" s="1"/>
      <c r="J1719" s="1"/>
    </row>
    <row r="1720" spans="1:10" x14ac:dyDescent="0.2">
      <c r="A1720" s="1"/>
      <c r="B1720" s="1"/>
      <c r="C1720" s="1"/>
      <c r="H1720" s="1"/>
      <c r="I1720" s="1"/>
      <c r="J1720" s="1"/>
    </row>
    <row r="1721" spans="1:10" x14ac:dyDescent="0.2">
      <c r="A1721" s="1"/>
      <c r="B1721" s="1"/>
      <c r="C1721" s="1"/>
      <c r="H1721" s="1"/>
      <c r="I1721" s="1"/>
      <c r="J1721" s="1"/>
    </row>
    <row r="1722" spans="1:10" x14ac:dyDescent="0.2">
      <c r="A1722" s="1"/>
      <c r="B1722" s="1"/>
      <c r="C1722" s="1"/>
      <c r="H1722" s="1"/>
      <c r="I1722" s="1"/>
      <c r="J1722" s="1"/>
    </row>
    <row r="1723" spans="1:10" x14ac:dyDescent="0.2">
      <c r="A1723" s="1"/>
      <c r="B1723" s="1"/>
      <c r="C1723" s="1"/>
      <c r="H1723" s="1"/>
      <c r="I1723" s="1"/>
      <c r="J1723" s="1"/>
    </row>
    <row r="1724" spans="1:10" x14ac:dyDescent="0.2">
      <c r="A1724" s="1"/>
      <c r="B1724" s="1"/>
      <c r="C1724" s="1"/>
      <c r="H1724" s="1"/>
      <c r="I1724" s="1"/>
      <c r="J1724" s="1"/>
    </row>
    <row r="1725" spans="1:10" x14ac:dyDescent="0.2">
      <c r="A1725" s="1"/>
      <c r="B1725" s="1"/>
      <c r="C1725" s="1"/>
      <c r="H1725" s="1"/>
      <c r="I1725" s="1"/>
      <c r="J1725" s="1"/>
    </row>
    <row r="1726" spans="1:10" x14ac:dyDescent="0.2">
      <c r="A1726" s="1"/>
      <c r="B1726" s="1"/>
      <c r="C1726" s="1"/>
      <c r="H1726" s="1"/>
      <c r="I1726" s="1"/>
      <c r="J1726" s="1"/>
    </row>
    <row r="1727" spans="1:10" x14ac:dyDescent="0.2">
      <c r="A1727" s="1"/>
      <c r="B1727" s="1"/>
      <c r="C1727" s="1"/>
      <c r="H1727" s="1"/>
      <c r="I1727" s="1"/>
      <c r="J1727" s="1"/>
    </row>
    <row r="1728" spans="1:10" x14ac:dyDescent="0.2">
      <c r="A1728" s="1"/>
      <c r="B1728" s="1"/>
      <c r="C1728" s="1"/>
      <c r="H1728" s="1"/>
      <c r="I1728" s="1"/>
      <c r="J1728" s="1"/>
    </row>
    <row r="1729" spans="1:10" x14ac:dyDescent="0.2">
      <c r="A1729" s="1"/>
      <c r="B1729" s="1"/>
      <c r="C1729" s="1"/>
      <c r="H1729" s="1"/>
      <c r="I1729" s="1"/>
      <c r="J1729" s="1"/>
    </row>
    <row r="1730" spans="1:10" x14ac:dyDescent="0.2">
      <c r="A1730" s="1"/>
      <c r="B1730" s="1"/>
      <c r="C1730" s="1"/>
      <c r="H1730" s="1"/>
      <c r="I1730" s="1"/>
      <c r="J1730" s="1"/>
    </row>
    <row r="1731" spans="1:10" x14ac:dyDescent="0.2">
      <c r="A1731" s="1"/>
      <c r="B1731" s="1"/>
      <c r="C1731" s="1"/>
      <c r="H1731" s="1"/>
      <c r="I1731" s="1"/>
      <c r="J1731" s="1"/>
    </row>
    <row r="1732" spans="1:10" x14ac:dyDescent="0.2">
      <c r="A1732" s="1"/>
      <c r="B1732" s="1"/>
      <c r="C1732" s="1"/>
      <c r="H1732" s="1"/>
      <c r="I1732" s="1"/>
      <c r="J1732" s="1"/>
    </row>
    <row r="1733" spans="1:10" x14ac:dyDescent="0.2">
      <c r="A1733" s="1"/>
      <c r="B1733" s="1"/>
      <c r="C1733" s="1"/>
      <c r="H1733" s="1"/>
      <c r="I1733" s="1"/>
      <c r="J1733" s="1"/>
    </row>
    <row r="1734" spans="1:10" x14ac:dyDescent="0.2">
      <c r="A1734" s="1"/>
      <c r="B1734" s="1"/>
      <c r="C1734" s="1"/>
      <c r="H1734" s="1"/>
      <c r="I1734" s="1"/>
      <c r="J1734" s="1"/>
    </row>
    <row r="1735" spans="1:10" x14ac:dyDescent="0.2">
      <c r="A1735" s="1"/>
      <c r="B1735" s="1"/>
      <c r="C1735" s="1"/>
      <c r="H1735" s="1"/>
      <c r="I1735" s="1"/>
      <c r="J1735" s="1"/>
    </row>
    <row r="1736" spans="1:10" x14ac:dyDescent="0.2">
      <c r="A1736" s="1"/>
      <c r="B1736" s="1"/>
      <c r="C1736" s="1"/>
      <c r="H1736" s="1"/>
      <c r="I1736" s="1"/>
      <c r="J1736" s="1"/>
    </row>
    <row r="1737" spans="1:10" x14ac:dyDescent="0.2">
      <c r="A1737" s="1"/>
      <c r="B1737" s="1"/>
      <c r="C1737" s="1"/>
      <c r="H1737" s="1"/>
      <c r="I1737" s="1"/>
      <c r="J1737" s="1"/>
    </row>
    <row r="1738" spans="1:10" x14ac:dyDescent="0.2">
      <c r="A1738" s="1"/>
      <c r="B1738" s="1"/>
      <c r="C1738" s="1"/>
      <c r="H1738" s="1"/>
      <c r="I1738" s="1"/>
      <c r="J1738" s="1"/>
    </row>
    <row r="1739" spans="1:10" x14ac:dyDescent="0.2">
      <c r="A1739" s="1"/>
      <c r="B1739" s="1"/>
      <c r="C1739" s="1"/>
      <c r="H1739" s="1"/>
      <c r="I1739" s="1"/>
      <c r="J1739" s="1"/>
    </row>
    <row r="1740" spans="1:10" x14ac:dyDescent="0.2">
      <c r="A1740" s="1"/>
      <c r="B1740" s="1"/>
      <c r="C1740" s="1"/>
      <c r="H1740" s="1"/>
      <c r="I1740" s="1"/>
      <c r="J1740" s="1"/>
    </row>
    <row r="1741" spans="1:10" x14ac:dyDescent="0.2">
      <c r="A1741" s="1"/>
      <c r="B1741" s="1"/>
      <c r="C1741" s="1"/>
      <c r="H1741" s="1"/>
      <c r="I1741" s="1"/>
      <c r="J1741" s="1"/>
    </row>
    <row r="1742" spans="1:10" x14ac:dyDescent="0.2">
      <c r="A1742" s="1"/>
      <c r="B1742" s="1"/>
      <c r="C1742" s="1"/>
      <c r="H1742" s="1"/>
      <c r="I1742" s="1"/>
      <c r="J1742" s="1"/>
    </row>
    <row r="1743" spans="1:10" x14ac:dyDescent="0.2">
      <c r="A1743" s="1"/>
      <c r="B1743" s="1"/>
      <c r="C1743" s="1"/>
      <c r="H1743" s="1"/>
      <c r="I1743" s="1"/>
      <c r="J1743" s="1"/>
    </row>
    <row r="1744" spans="1:10" x14ac:dyDescent="0.2">
      <c r="A1744" s="1"/>
      <c r="B1744" s="1"/>
      <c r="C1744" s="1"/>
      <c r="H1744" s="1"/>
      <c r="I1744" s="1"/>
      <c r="J1744" s="1"/>
    </row>
    <row r="1745" spans="1:10" x14ac:dyDescent="0.2">
      <c r="A1745" s="1"/>
      <c r="B1745" s="1"/>
      <c r="C1745" s="1"/>
      <c r="H1745" s="1"/>
      <c r="I1745" s="1"/>
      <c r="J1745" s="1"/>
    </row>
    <row r="1746" spans="1:10" x14ac:dyDescent="0.2">
      <c r="A1746" s="1"/>
      <c r="B1746" s="1"/>
      <c r="C1746" s="1"/>
      <c r="H1746" s="1"/>
      <c r="I1746" s="1"/>
      <c r="J1746" s="1"/>
    </row>
    <row r="1747" spans="1:10" x14ac:dyDescent="0.2">
      <c r="A1747" s="1"/>
      <c r="B1747" s="1"/>
      <c r="C1747" s="1"/>
      <c r="H1747" s="1"/>
      <c r="I1747" s="1"/>
      <c r="J1747" s="1"/>
    </row>
    <row r="1748" spans="1:10" x14ac:dyDescent="0.2">
      <c r="A1748" s="1"/>
      <c r="B1748" s="1"/>
      <c r="C1748" s="1"/>
      <c r="H1748" s="1"/>
      <c r="I1748" s="1"/>
      <c r="J1748" s="1"/>
    </row>
    <row r="1749" spans="1:10" x14ac:dyDescent="0.2">
      <c r="A1749" s="1"/>
      <c r="B1749" s="1"/>
      <c r="C1749" s="1"/>
      <c r="H1749" s="1"/>
      <c r="I1749" s="1"/>
      <c r="J1749" s="1"/>
    </row>
    <row r="1750" spans="1:10" x14ac:dyDescent="0.2">
      <c r="A1750" s="1"/>
      <c r="B1750" s="1"/>
      <c r="C1750" s="1"/>
      <c r="H1750" s="1"/>
      <c r="I1750" s="1"/>
      <c r="J1750" s="1"/>
    </row>
    <row r="1751" spans="1:10" x14ac:dyDescent="0.2">
      <c r="A1751" s="1"/>
      <c r="B1751" s="1"/>
      <c r="C1751" s="1"/>
      <c r="H1751" s="1"/>
      <c r="I1751" s="1"/>
      <c r="J1751" s="1"/>
    </row>
    <row r="1752" spans="1:10" x14ac:dyDescent="0.2">
      <c r="A1752" s="1"/>
      <c r="B1752" s="1"/>
      <c r="C1752" s="1"/>
      <c r="H1752" s="1"/>
      <c r="I1752" s="1"/>
      <c r="J1752" s="1"/>
    </row>
    <row r="1753" spans="1:10" x14ac:dyDescent="0.2">
      <c r="A1753" s="1"/>
      <c r="B1753" s="1"/>
      <c r="C1753" s="1"/>
      <c r="H1753" s="1"/>
      <c r="I1753" s="1"/>
      <c r="J1753" s="1"/>
    </row>
    <row r="1754" spans="1:10" x14ac:dyDescent="0.2">
      <c r="A1754" s="1"/>
      <c r="B1754" s="1"/>
      <c r="C1754" s="1"/>
      <c r="H1754" s="1"/>
      <c r="I1754" s="1"/>
      <c r="J1754" s="1"/>
    </row>
    <row r="1755" spans="1:10" x14ac:dyDescent="0.2">
      <c r="A1755" s="1"/>
      <c r="B1755" s="1"/>
      <c r="C1755" s="1"/>
      <c r="H1755" s="1"/>
      <c r="I1755" s="1"/>
      <c r="J1755" s="1"/>
    </row>
    <row r="1756" spans="1:10" x14ac:dyDescent="0.2">
      <c r="A1756" s="1"/>
      <c r="B1756" s="1"/>
      <c r="C1756" s="1"/>
      <c r="H1756" s="1"/>
      <c r="I1756" s="1"/>
      <c r="J1756" s="1"/>
    </row>
    <row r="1757" spans="1:10" x14ac:dyDescent="0.2">
      <c r="A1757" s="1"/>
      <c r="B1757" s="1"/>
      <c r="C1757" s="1"/>
      <c r="H1757" s="1"/>
      <c r="I1757" s="1"/>
      <c r="J1757" s="1"/>
    </row>
    <row r="1758" spans="1:10" x14ac:dyDescent="0.2">
      <c r="A1758" s="1"/>
      <c r="B1758" s="1"/>
      <c r="C1758" s="1"/>
      <c r="H1758" s="1"/>
      <c r="I1758" s="1"/>
      <c r="J1758" s="1"/>
    </row>
    <row r="1759" spans="1:10" x14ac:dyDescent="0.2">
      <c r="A1759" s="1"/>
      <c r="B1759" s="1"/>
      <c r="C1759" s="1"/>
      <c r="H1759" s="1"/>
      <c r="I1759" s="1"/>
      <c r="J1759" s="1"/>
    </row>
    <row r="1760" spans="1:10" x14ac:dyDescent="0.2">
      <c r="A1760" s="1"/>
      <c r="B1760" s="1"/>
      <c r="C1760" s="1"/>
      <c r="H1760" s="1"/>
      <c r="I1760" s="1"/>
      <c r="J1760" s="1"/>
    </row>
    <row r="1761" spans="1:10" x14ac:dyDescent="0.2">
      <c r="A1761" s="1"/>
      <c r="B1761" s="1"/>
      <c r="C1761" s="1"/>
      <c r="H1761" s="1"/>
      <c r="I1761" s="1"/>
      <c r="J1761" s="1"/>
    </row>
    <row r="1762" spans="1:10" x14ac:dyDescent="0.2">
      <c r="A1762" s="1"/>
      <c r="B1762" s="1"/>
      <c r="C1762" s="1"/>
      <c r="H1762" s="1"/>
      <c r="I1762" s="1"/>
      <c r="J1762" s="1"/>
    </row>
    <row r="1763" spans="1:10" x14ac:dyDescent="0.2">
      <c r="A1763" s="1"/>
      <c r="B1763" s="1"/>
      <c r="C1763" s="1"/>
      <c r="H1763" s="1"/>
      <c r="I1763" s="1"/>
      <c r="J1763" s="1"/>
    </row>
    <row r="1764" spans="1:10" x14ac:dyDescent="0.2">
      <c r="A1764" s="1"/>
      <c r="B1764" s="1"/>
      <c r="C1764" s="1"/>
      <c r="H1764" s="1"/>
      <c r="I1764" s="1"/>
      <c r="J1764" s="1"/>
    </row>
    <row r="1765" spans="1:10" x14ac:dyDescent="0.2">
      <c r="A1765" s="1"/>
      <c r="B1765" s="1"/>
      <c r="C1765" s="1"/>
      <c r="H1765" s="1"/>
      <c r="I1765" s="1"/>
      <c r="J1765" s="1"/>
    </row>
    <row r="1766" spans="1:10" x14ac:dyDescent="0.2">
      <c r="A1766" s="1"/>
      <c r="B1766" s="1"/>
      <c r="C1766" s="1"/>
      <c r="H1766" s="1"/>
      <c r="I1766" s="1"/>
      <c r="J1766" s="1"/>
    </row>
    <row r="1767" spans="1:10" x14ac:dyDescent="0.2">
      <c r="A1767" s="1"/>
      <c r="B1767" s="1"/>
      <c r="C1767" s="1"/>
      <c r="H1767" s="1"/>
      <c r="I1767" s="1"/>
      <c r="J1767" s="1"/>
    </row>
    <row r="1768" spans="1:10" x14ac:dyDescent="0.2">
      <c r="A1768" s="1"/>
      <c r="B1768" s="1"/>
      <c r="C1768" s="1"/>
      <c r="H1768" s="1"/>
      <c r="I1768" s="1"/>
      <c r="J1768" s="1"/>
    </row>
    <row r="1769" spans="1:10" x14ac:dyDescent="0.2">
      <c r="A1769" s="1"/>
      <c r="B1769" s="1"/>
      <c r="C1769" s="1"/>
      <c r="H1769" s="1"/>
      <c r="I1769" s="1"/>
      <c r="J1769" s="1"/>
    </row>
    <row r="1770" spans="1:10" x14ac:dyDescent="0.2">
      <c r="A1770" s="1"/>
      <c r="B1770" s="1"/>
      <c r="C1770" s="1"/>
      <c r="H1770" s="1"/>
      <c r="I1770" s="1"/>
      <c r="J1770" s="1"/>
    </row>
    <row r="1771" spans="1:10" x14ac:dyDescent="0.2">
      <c r="A1771" s="1"/>
      <c r="B1771" s="1"/>
      <c r="C1771" s="1"/>
      <c r="H1771" s="1"/>
      <c r="I1771" s="1"/>
      <c r="J1771" s="1"/>
    </row>
    <row r="1772" spans="1:10" x14ac:dyDescent="0.2">
      <c r="A1772" s="1"/>
      <c r="B1772" s="1"/>
      <c r="C1772" s="1"/>
      <c r="H1772" s="1"/>
      <c r="I1772" s="1"/>
      <c r="J1772" s="1"/>
    </row>
    <row r="1773" spans="1:10" x14ac:dyDescent="0.2">
      <c r="A1773" s="1"/>
      <c r="B1773" s="1"/>
      <c r="C1773" s="1"/>
      <c r="H1773" s="1"/>
      <c r="I1773" s="1"/>
      <c r="J1773" s="1"/>
    </row>
    <row r="1774" spans="1:10" x14ac:dyDescent="0.2">
      <c r="A1774" s="1"/>
      <c r="B1774" s="1"/>
      <c r="C1774" s="1"/>
      <c r="H1774" s="1"/>
      <c r="I1774" s="1"/>
      <c r="J1774" s="1"/>
    </row>
    <row r="1775" spans="1:10" x14ac:dyDescent="0.2">
      <c r="A1775" s="1"/>
      <c r="B1775" s="1"/>
      <c r="C1775" s="1"/>
      <c r="H1775" s="1"/>
      <c r="I1775" s="1"/>
      <c r="J1775" s="1"/>
    </row>
    <row r="1776" spans="1:10" x14ac:dyDescent="0.2">
      <c r="A1776" s="1"/>
      <c r="B1776" s="1"/>
      <c r="C1776" s="1"/>
      <c r="H1776" s="1"/>
      <c r="I1776" s="1"/>
      <c r="J1776" s="1"/>
    </row>
    <row r="1777" spans="1:10" x14ac:dyDescent="0.2">
      <c r="A1777" s="1"/>
      <c r="B1777" s="1"/>
      <c r="C1777" s="1"/>
      <c r="H1777" s="1"/>
      <c r="I1777" s="1"/>
      <c r="J1777" s="1"/>
    </row>
    <row r="1778" spans="1:10" x14ac:dyDescent="0.2">
      <c r="A1778" s="1"/>
      <c r="B1778" s="1"/>
      <c r="C1778" s="1"/>
      <c r="H1778" s="1"/>
      <c r="I1778" s="1"/>
      <c r="J1778" s="1"/>
    </row>
    <row r="1779" spans="1:10" x14ac:dyDescent="0.2">
      <c r="A1779" s="1"/>
      <c r="B1779" s="1"/>
      <c r="C1779" s="1"/>
      <c r="H1779" s="1"/>
      <c r="I1779" s="1"/>
      <c r="J1779" s="1"/>
    </row>
    <row r="1780" spans="1:10" x14ac:dyDescent="0.2">
      <c r="A1780" s="1"/>
      <c r="B1780" s="1"/>
      <c r="C1780" s="1"/>
      <c r="H1780" s="1"/>
      <c r="I1780" s="1"/>
      <c r="J1780" s="1"/>
    </row>
    <row r="1781" spans="1:10" x14ac:dyDescent="0.2">
      <c r="A1781" s="1"/>
      <c r="B1781" s="1"/>
      <c r="C1781" s="1"/>
      <c r="H1781" s="1"/>
      <c r="I1781" s="1"/>
      <c r="J1781" s="1"/>
    </row>
    <row r="1782" spans="1:10" x14ac:dyDescent="0.2">
      <c r="A1782" s="1"/>
      <c r="B1782" s="1"/>
      <c r="C1782" s="1"/>
      <c r="H1782" s="1"/>
      <c r="I1782" s="1"/>
      <c r="J1782" s="1"/>
    </row>
    <row r="1783" spans="1:10" x14ac:dyDescent="0.2">
      <c r="A1783" s="1"/>
      <c r="B1783" s="1"/>
      <c r="C1783" s="1"/>
      <c r="H1783" s="1"/>
      <c r="I1783" s="1"/>
      <c r="J1783" s="1"/>
    </row>
    <row r="1784" spans="1:10" x14ac:dyDescent="0.2">
      <c r="A1784" s="1"/>
      <c r="B1784" s="1"/>
      <c r="C1784" s="1"/>
      <c r="H1784" s="1"/>
      <c r="I1784" s="1"/>
      <c r="J1784" s="1"/>
    </row>
    <row r="1785" spans="1:10" x14ac:dyDescent="0.2">
      <c r="A1785" s="1"/>
      <c r="B1785" s="1"/>
      <c r="C1785" s="1"/>
      <c r="H1785" s="1"/>
      <c r="I1785" s="1"/>
      <c r="J1785" s="1"/>
    </row>
    <row r="1786" spans="1:10" x14ac:dyDescent="0.2">
      <c r="A1786" s="1"/>
      <c r="B1786" s="1"/>
      <c r="C1786" s="1"/>
      <c r="H1786" s="1"/>
      <c r="I1786" s="1"/>
      <c r="J1786" s="1"/>
    </row>
    <row r="1787" spans="1:10" x14ac:dyDescent="0.2">
      <c r="A1787" s="1"/>
      <c r="B1787" s="1"/>
      <c r="C1787" s="1"/>
      <c r="H1787" s="1"/>
      <c r="I1787" s="1"/>
      <c r="J1787" s="1"/>
    </row>
    <row r="1788" spans="1:10" x14ac:dyDescent="0.2">
      <c r="A1788" s="1"/>
      <c r="B1788" s="1"/>
      <c r="C1788" s="1"/>
      <c r="H1788" s="1"/>
      <c r="I1788" s="1"/>
      <c r="J1788" s="1"/>
    </row>
    <row r="1789" spans="1:10" x14ac:dyDescent="0.2">
      <c r="A1789" s="1"/>
      <c r="B1789" s="1"/>
      <c r="C1789" s="1"/>
      <c r="H1789" s="1"/>
      <c r="I1789" s="1"/>
      <c r="J1789" s="1"/>
    </row>
    <row r="1790" spans="1:10" x14ac:dyDescent="0.2">
      <c r="A1790" s="1"/>
      <c r="B1790" s="1"/>
      <c r="C1790" s="1"/>
      <c r="H1790" s="1"/>
      <c r="I1790" s="1"/>
      <c r="J1790" s="1"/>
    </row>
    <row r="1791" spans="1:10" x14ac:dyDescent="0.2">
      <c r="A1791" s="1"/>
      <c r="B1791" s="1"/>
      <c r="C1791" s="1"/>
      <c r="H1791" s="1"/>
      <c r="I1791" s="1"/>
      <c r="J1791" s="1"/>
    </row>
    <row r="1792" spans="1:10" x14ac:dyDescent="0.2">
      <c r="A1792" s="1"/>
      <c r="B1792" s="1"/>
      <c r="C1792" s="1"/>
      <c r="H1792" s="1"/>
      <c r="I1792" s="1"/>
      <c r="J1792" s="1"/>
    </row>
    <row r="1793" spans="1:10" x14ac:dyDescent="0.2">
      <c r="A1793" s="1"/>
      <c r="B1793" s="1"/>
      <c r="C1793" s="1"/>
      <c r="H1793" s="1"/>
      <c r="I1793" s="1"/>
      <c r="J1793" s="1"/>
    </row>
    <row r="1794" spans="1:10" x14ac:dyDescent="0.2">
      <c r="A1794" s="1"/>
      <c r="B1794" s="1"/>
      <c r="C1794" s="1"/>
      <c r="H1794" s="1"/>
      <c r="I1794" s="1"/>
      <c r="J1794" s="1"/>
    </row>
    <row r="1795" spans="1:10" x14ac:dyDescent="0.2">
      <c r="A1795" s="1"/>
      <c r="B1795" s="1"/>
      <c r="C1795" s="1"/>
      <c r="H1795" s="1"/>
      <c r="I1795" s="1"/>
      <c r="J1795" s="1"/>
    </row>
    <row r="1796" spans="1:10" x14ac:dyDescent="0.2">
      <c r="A1796" s="1"/>
      <c r="B1796" s="1"/>
      <c r="C1796" s="1"/>
      <c r="H1796" s="1"/>
      <c r="I1796" s="1"/>
      <c r="J1796" s="1"/>
    </row>
    <row r="1797" spans="1:10" x14ac:dyDescent="0.2">
      <c r="A1797" s="1"/>
      <c r="B1797" s="1"/>
      <c r="C1797" s="1"/>
      <c r="H1797" s="1"/>
      <c r="I1797" s="1"/>
      <c r="J1797" s="1"/>
    </row>
    <row r="1798" spans="1:10" x14ac:dyDescent="0.2">
      <c r="A1798" s="1"/>
      <c r="B1798" s="1"/>
      <c r="C1798" s="1"/>
      <c r="H1798" s="1"/>
      <c r="I1798" s="1"/>
      <c r="J1798" s="1"/>
    </row>
    <row r="1799" spans="1:10" x14ac:dyDescent="0.2">
      <c r="A1799" s="1"/>
      <c r="B1799" s="1"/>
      <c r="C1799" s="1"/>
      <c r="H1799" s="1"/>
      <c r="I1799" s="1"/>
      <c r="J1799" s="1"/>
    </row>
    <row r="1800" spans="1:10" x14ac:dyDescent="0.2">
      <c r="A1800" s="1"/>
      <c r="B1800" s="1"/>
      <c r="C1800" s="1"/>
      <c r="H1800" s="1"/>
      <c r="I1800" s="1"/>
      <c r="J1800" s="1"/>
    </row>
    <row r="1801" spans="1:10" x14ac:dyDescent="0.2">
      <c r="A1801" s="1"/>
      <c r="B1801" s="1"/>
      <c r="C1801" s="1"/>
      <c r="H1801" s="1"/>
      <c r="I1801" s="1"/>
      <c r="J1801" s="1"/>
    </row>
    <row r="1802" spans="1:10" x14ac:dyDescent="0.2">
      <c r="A1802" s="1"/>
      <c r="B1802" s="1"/>
      <c r="C1802" s="1"/>
      <c r="H1802" s="1"/>
      <c r="I1802" s="1"/>
      <c r="J1802" s="1"/>
    </row>
    <row r="1803" spans="1:10" x14ac:dyDescent="0.2">
      <c r="A1803" s="1"/>
      <c r="B1803" s="1"/>
      <c r="C1803" s="1"/>
      <c r="H1803" s="1"/>
      <c r="I1803" s="1"/>
      <c r="J1803" s="1"/>
    </row>
    <row r="1804" spans="1:10" x14ac:dyDescent="0.2">
      <c r="A1804" s="1"/>
      <c r="B1804" s="1"/>
      <c r="C1804" s="1"/>
      <c r="H1804" s="1"/>
      <c r="I1804" s="1"/>
      <c r="J1804" s="1"/>
    </row>
    <row r="1805" spans="1:10" x14ac:dyDescent="0.2">
      <c r="A1805" s="1"/>
      <c r="B1805" s="1"/>
      <c r="C1805" s="1"/>
      <c r="H1805" s="1"/>
      <c r="I1805" s="1"/>
      <c r="J1805" s="1"/>
    </row>
    <row r="1806" spans="1:10" x14ac:dyDescent="0.2">
      <c r="A1806" s="1"/>
      <c r="B1806" s="1"/>
      <c r="C1806" s="1"/>
      <c r="H1806" s="1"/>
      <c r="I1806" s="1"/>
      <c r="J1806" s="1"/>
    </row>
    <row r="1807" spans="1:10" x14ac:dyDescent="0.2">
      <c r="A1807" s="1"/>
      <c r="B1807" s="1"/>
      <c r="C1807" s="1"/>
      <c r="H1807" s="1"/>
      <c r="I1807" s="1"/>
      <c r="J1807" s="1"/>
    </row>
    <row r="1808" spans="1:10" x14ac:dyDescent="0.2">
      <c r="A1808" s="1"/>
      <c r="B1808" s="1"/>
      <c r="C1808" s="1"/>
      <c r="H1808" s="1"/>
      <c r="I1808" s="1"/>
      <c r="J1808" s="1"/>
    </row>
    <row r="1809" spans="1:10" x14ac:dyDescent="0.2">
      <c r="A1809" s="1"/>
      <c r="B1809" s="1"/>
      <c r="C1809" s="1"/>
      <c r="H1809" s="1"/>
      <c r="I1809" s="1"/>
      <c r="J1809" s="1"/>
    </row>
    <row r="1810" spans="1:10" x14ac:dyDescent="0.2">
      <c r="A1810" s="1"/>
      <c r="B1810" s="1"/>
      <c r="C1810" s="1"/>
      <c r="H1810" s="1"/>
      <c r="I1810" s="1"/>
      <c r="J1810" s="1"/>
    </row>
    <row r="1811" spans="1:10" x14ac:dyDescent="0.2">
      <c r="A1811" s="1"/>
      <c r="B1811" s="1"/>
      <c r="C1811" s="1"/>
      <c r="H1811" s="1"/>
      <c r="I1811" s="1"/>
      <c r="J1811" s="1"/>
    </row>
    <row r="1812" spans="1:10" x14ac:dyDescent="0.2">
      <c r="A1812" s="1"/>
      <c r="B1812" s="1"/>
      <c r="C1812" s="1"/>
      <c r="H1812" s="1"/>
      <c r="I1812" s="1"/>
      <c r="J1812" s="1"/>
    </row>
    <row r="1813" spans="1:10" x14ac:dyDescent="0.2">
      <c r="A1813" s="1"/>
      <c r="B1813" s="1"/>
      <c r="C1813" s="1"/>
      <c r="H1813" s="1"/>
      <c r="I1813" s="1"/>
      <c r="J1813" s="1"/>
    </row>
    <row r="1814" spans="1:10" x14ac:dyDescent="0.2">
      <c r="A1814" s="1"/>
      <c r="B1814" s="1"/>
      <c r="C1814" s="1"/>
      <c r="H1814" s="1"/>
      <c r="I1814" s="1"/>
      <c r="J1814" s="1"/>
    </row>
    <row r="1815" spans="1:10" x14ac:dyDescent="0.2">
      <c r="A1815" s="1"/>
      <c r="B1815" s="1"/>
      <c r="C1815" s="1"/>
      <c r="H1815" s="1"/>
      <c r="I1815" s="1"/>
      <c r="J1815" s="1"/>
    </row>
    <row r="1816" spans="1:10" x14ac:dyDescent="0.2">
      <c r="A1816" s="1"/>
      <c r="B1816" s="1"/>
      <c r="C1816" s="1"/>
      <c r="H1816" s="1"/>
      <c r="I1816" s="1"/>
      <c r="J1816" s="1"/>
    </row>
    <row r="1817" spans="1:10" x14ac:dyDescent="0.2">
      <c r="A1817" s="1"/>
      <c r="B1817" s="1"/>
      <c r="C1817" s="1"/>
      <c r="H1817" s="1"/>
      <c r="I1817" s="1"/>
      <c r="J1817" s="1"/>
    </row>
    <row r="1818" spans="1:10" x14ac:dyDescent="0.2">
      <c r="A1818" s="1"/>
      <c r="B1818" s="1"/>
      <c r="C1818" s="1"/>
      <c r="H1818" s="1"/>
      <c r="I1818" s="1"/>
      <c r="J1818" s="1"/>
    </row>
    <row r="1819" spans="1:10" x14ac:dyDescent="0.2">
      <c r="A1819" s="1"/>
      <c r="B1819" s="1"/>
      <c r="C1819" s="1"/>
      <c r="H1819" s="1"/>
      <c r="I1819" s="1"/>
      <c r="J1819" s="1"/>
    </row>
    <row r="1820" spans="1:10" x14ac:dyDescent="0.2">
      <c r="A1820" s="1"/>
      <c r="B1820" s="1"/>
      <c r="C1820" s="1"/>
      <c r="H1820" s="1"/>
      <c r="I1820" s="1"/>
      <c r="J1820" s="1"/>
    </row>
    <row r="1821" spans="1:10" x14ac:dyDescent="0.2">
      <c r="A1821" s="1"/>
      <c r="B1821" s="1"/>
      <c r="C1821" s="1"/>
      <c r="H1821" s="1"/>
      <c r="I1821" s="1"/>
      <c r="J1821" s="1"/>
    </row>
    <row r="1822" spans="1:10" x14ac:dyDescent="0.2">
      <c r="A1822" s="1"/>
      <c r="B1822" s="1"/>
      <c r="C1822" s="1"/>
      <c r="H1822" s="1"/>
      <c r="I1822" s="1"/>
      <c r="J1822" s="1"/>
    </row>
    <row r="1823" spans="1:10" x14ac:dyDescent="0.2">
      <c r="A1823" s="1"/>
      <c r="B1823" s="1"/>
      <c r="C1823" s="1"/>
      <c r="H1823" s="1"/>
      <c r="I1823" s="1"/>
      <c r="J1823" s="1"/>
    </row>
    <row r="1824" spans="1:10" x14ac:dyDescent="0.2">
      <c r="A1824" s="1"/>
      <c r="B1824" s="1"/>
      <c r="C1824" s="1"/>
      <c r="H1824" s="1"/>
      <c r="I1824" s="1"/>
      <c r="J1824" s="1"/>
    </row>
    <row r="1825" spans="1:10" x14ac:dyDescent="0.2">
      <c r="A1825" s="1"/>
      <c r="B1825" s="1"/>
      <c r="C1825" s="1"/>
      <c r="H1825" s="1"/>
      <c r="I1825" s="1"/>
      <c r="J1825" s="1"/>
    </row>
    <row r="1826" spans="1:10" x14ac:dyDescent="0.2">
      <c r="A1826" s="1"/>
      <c r="B1826" s="1"/>
      <c r="C1826" s="1"/>
      <c r="H1826" s="1"/>
      <c r="I1826" s="1"/>
      <c r="J1826" s="1"/>
    </row>
    <row r="1827" spans="1:10" x14ac:dyDescent="0.2">
      <c r="A1827" s="1"/>
      <c r="B1827" s="1"/>
      <c r="C1827" s="1"/>
      <c r="H1827" s="1"/>
      <c r="I1827" s="1"/>
      <c r="J1827" s="1"/>
    </row>
    <row r="1828" spans="1:10" x14ac:dyDescent="0.2">
      <c r="A1828" s="1"/>
      <c r="B1828" s="1"/>
      <c r="C1828" s="1"/>
      <c r="H1828" s="1"/>
      <c r="I1828" s="1"/>
      <c r="J1828" s="1"/>
    </row>
    <row r="1829" spans="1:10" x14ac:dyDescent="0.2">
      <c r="A1829" s="1"/>
      <c r="B1829" s="1"/>
      <c r="C1829" s="1"/>
      <c r="H1829" s="1"/>
      <c r="I1829" s="1"/>
      <c r="J1829" s="1"/>
    </row>
    <row r="1830" spans="1:10" x14ac:dyDescent="0.2">
      <c r="A1830" s="1"/>
      <c r="B1830" s="1"/>
      <c r="C1830" s="1"/>
      <c r="H1830" s="1"/>
      <c r="I1830" s="1"/>
      <c r="J1830" s="1"/>
    </row>
    <row r="1831" spans="1:10" x14ac:dyDescent="0.2">
      <c r="A1831" s="1"/>
      <c r="B1831" s="1"/>
      <c r="C1831" s="1"/>
      <c r="H1831" s="1"/>
      <c r="I1831" s="1"/>
      <c r="J1831" s="1"/>
    </row>
    <row r="1832" spans="1:10" x14ac:dyDescent="0.2">
      <c r="A1832" s="1"/>
      <c r="B1832" s="1"/>
      <c r="C1832" s="1"/>
      <c r="H1832" s="1"/>
      <c r="I1832" s="1"/>
      <c r="J1832" s="1"/>
    </row>
    <row r="1833" spans="1:10" x14ac:dyDescent="0.2">
      <c r="A1833" s="1"/>
      <c r="B1833" s="1"/>
      <c r="C1833" s="1"/>
      <c r="H1833" s="1"/>
      <c r="I1833" s="1"/>
      <c r="J1833" s="1"/>
    </row>
    <row r="1834" spans="1:10" x14ac:dyDescent="0.2">
      <c r="A1834" s="1"/>
      <c r="B1834" s="1"/>
      <c r="C1834" s="1"/>
      <c r="H1834" s="1"/>
      <c r="I1834" s="1"/>
      <c r="J1834" s="1"/>
    </row>
    <row r="1835" spans="1:10" x14ac:dyDescent="0.2">
      <c r="A1835" s="1"/>
      <c r="B1835" s="1"/>
      <c r="C1835" s="1"/>
      <c r="H1835" s="1"/>
      <c r="I1835" s="1"/>
      <c r="J1835" s="1"/>
    </row>
    <row r="1836" spans="1:10" x14ac:dyDescent="0.2">
      <c r="A1836" s="1"/>
      <c r="B1836" s="1"/>
      <c r="C1836" s="1"/>
      <c r="H1836" s="1"/>
      <c r="I1836" s="1"/>
      <c r="J1836" s="1"/>
    </row>
    <row r="1837" spans="1:10" x14ac:dyDescent="0.2">
      <c r="A1837" s="1"/>
      <c r="B1837" s="1"/>
      <c r="C1837" s="1"/>
      <c r="H1837" s="1"/>
      <c r="I1837" s="1"/>
      <c r="J1837" s="1"/>
    </row>
    <row r="1838" spans="1:10" x14ac:dyDescent="0.2">
      <c r="A1838" s="1"/>
      <c r="B1838" s="1"/>
      <c r="C1838" s="1"/>
      <c r="H1838" s="1"/>
      <c r="I1838" s="1"/>
      <c r="J1838" s="1"/>
    </row>
    <row r="1839" spans="1:10" x14ac:dyDescent="0.2">
      <c r="A1839" s="1"/>
      <c r="B1839" s="1"/>
      <c r="C1839" s="1"/>
      <c r="H1839" s="1"/>
      <c r="I1839" s="1"/>
      <c r="J1839" s="1"/>
    </row>
    <row r="1840" spans="1:10" x14ac:dyDescent="0.2">
      <c r="A1840" s="1"/>
      <c r="B1840" s="1"/>
      <c r="C1840" s="1"/>
      <c r="H1840" s="1"/>
      <c r="I1840" s="1"/>
      <c r="J1840" s="1"/>
    </row>
    <row r="1841" spans="1:10" x14ac:dyDescent="0.2">
      <c r="A1841" s="1"/>
      <c r="B1841" s="1"/>
      <c r="C1841" s="1"/>
      <c r="H1841" s="1"/>
      <c r="I1841" s="1"/>
      <c r="J1841" s="1"/>
    </row>
    <row r="1842" spans="1:10" x14ac:dyDescent="0.2">
      <c r="A1842" s="1"/>
      <c r="B1842" s="1"/>
      <c r="C1842" s="1"/>
      <c r="H1842" s="1"/>
      <c r="I1842" s="1"/>
      <c r="J1842" s="1"/>
    </row>
    <row r="1843" spans="1:10" x14ac:dyDescent="0.2">
      <c r="A1843" s="1"/>
      <c r="B1843" s="1"/>
      <c r="C1843" s="1"/>
      <c r="H1843" s="1"/>
      <c r="I1843" s="1"/>
      <c r="J1843" s="1"/>
    </row>
    <row r="1844" spans="1:10" x14ac:dyDescent="0.2">
      <c r="A1844" s="1"/>
      <c r="B1844" s="1"/>
      <c r="C1844" s="1"/>
      <c r="H1844" s="1"/>
      <c r="I1844" s="1"/>
      <c r="J1844" s="1"/>
    </row>
    <row r="1845" spans="1:10" x14ac:dyDescent="0.2">
      <c r="A1845" s="1"/>
      <c r="B1845" s="1"/>
      <c r="C1845" s="1"/>
      <c r="H1845" s="1"/>
      <c r="I1845" s="1"/>
      <c r="J1845" s="1"/>
    </row>
    <row r="1846" spans="1:10" x14ac:dyDescent="0.2">
      <c r="A1846" s="1"/>
      <c r="B1846" s="1"/>
      <c r="C1846" s="1"/>
      <c r="H1846" s="1"/>
      <c r="I1846" s="1"/>
      <c r="J1846" s="1"/>
    </row>
    <row r="1847" spans="1:10" x14ac:dyDescent="0.2">
      <c r="A1847" s="1"/>
      <c r="B1847" s="1"/>
      <c r="C1847" s="1"/>
      <c r="H1847" s="1"/>
      <c r="I1847" s="1"/>
      <c r="J1847" s="1"/>
    </row>
    <row r="1848" spans="1:10" x14ac:dyDescent="0.2">
      <c r="A1848" s="1"/>
      <c r="B1848" s="1"/>
      <c r="C1848" s="1"/>
      <c r="H1848" s="1"/>
      <c r="I1848" s="1"/>
      <c r="J1848" s="1"/>
    </row>
    <row r="1849" spans="1:10" x14ac:dyDescent="0.2">
      <c r="A1849" s="1"/>
      <c r="B1849" s="1"/>
      <c r="C1849" s="1"/>
      <c r="H1849" s="1"/>
      <c r="I1849" s="1"/>
      <c r="J1849" s="1"/>
    </row>
    <row r="1850" spans="1:10" x14ac:dyDescent="0.2">
      <c r="A1850" s="1"/>
      <c r="B1850" s="1"/>
      <c r="C1850" s="1"/>
      <c r="H1850" s="1"/>
      <c r="I1850" s="1"/>
      <c r="J1850" s="1"/>
    </row>
    <row r="1851" spans="1:10" x14ac:dyDescent="0.2">
      <c r="A1851" s="1"/>
      <c r="B1851" s="1"/>
      <c r="C1851" s="1"/>
      <c r="H1851" s="1"/>
      <c r="I1851" s="1"/>
      <c r="J1851" s="1"/>
    </row>
    <row r="1852" spans="1:10" x14ac:dyDescent="0.2">
      <c r="A1852" s="1"/>
      <c r="B1852" s="1"/>
      <c r="C1852" s="1"/>
      <c r="H1852" s="1"/>
      <c r="I1852" s="1"/>
      <c r="J1852" s="1"/>
    </row>
    <row r="1853" spans="1:10" x14ac:dyDescent="0.2">
      <c r="A1853" s="1"/>
      <c r="B1853" s="1"/>
      <c r="C1853" s="1"/>
      <c r="H1853" s="1"/>
      <c r="I1853" s="1"/>
      <c r="J1853" s="1"/>
    </row>
    <row r="1854" spans="1:10" x14ac:dyDescent="0.2">
      <c r="A1854" s="1"/>
      <c r="B1854" s="1"/>
      <c r="C1854" s="1"/>
      <c r="H1854" s="1"/>
      <c r="I1854" s="1"/>
      <c r="J1854" s="1"/>
    </row>
    <row r="1855" spans="1:10" x14ac:dyDescent="0.2">
      <c r="A1855" s="1"/>
      <c r="B1855" s="1"/>
      <c r="C1855" s="1"/>
      <c r="H1855" s="1"/>
      <c r="I1855" s="1"/>
      <c r="J1855" s="1"/>
    </row>
    <row r="1856" spans="1:10" x14ac:dyDescent="0.2">
      <c r="A1856" s="1"/>
      <c r="B1856" s="1"/>
      <c r="C1856" s="1"/>
      <c r="H1856" s="1"/>
      <c r="I1856" s="1"/>
      <c r="J1856" s="1"/>
    </row>
    <row r="1857" spans="1:10" x14ac:dyDescent="0.2">
      <c r="A1857" s="1"/>
      <c r="B1857" s="1"/>
      <c r="C1857" s="1"/>
      <c r="H1857" s="1"/>
      <c r="I1857" s="1"/>
      <c r="J1857" s="1"/>
    </row>
    <row r="1858" spans="1:10" x14ac:dyDescent="0.2">
      <c r="A1858" s="1"/>
      <c r="B1858" s="1"/>
      <c r="C1858" s="1"/>
      <c r="H1858" s="1"/>
      <c r="I1858" s="1"/>
      <c r="J1858" s="1"/>
    </row>
    <row r="1859" spans="1:10" x14ac:dyDescent="0.2">
      <c r="A1859" s="1"/>
      <c r="B1859" s="1"/>
      <c r="C1859" s="1"/>
      <c r="H1859" s="1"/>
      <c r="I1859" s="1"/>
      <c r="J1859" s="1"/>
    </row>
    <row r="1860" spans="1:10" x14ac:dyDescent="0.2">
      <c r="A1860" s="1"/>
      <c r="B1860" s="1"/>
      <c r="C1860" s="1"/>
      <c r="H1860" s="1"/>
      <c r="I1860" s="1"/>
      <c r="J1860" s="1"/>
    </row>
    <row r="1861" spans="1:10" x14ac:dyDescent="0.2">
      <c r="A1861" s="1"/>
      <c r="B1861" s="1"/>
      <c r="C1861" s="1"/>
      <c r="H1861" s="1"/>
      <c r="I1861" s="1"/>
      <c r="J1861" s="1"/>
    </row>
    <row r="1862" spans="1:10" x14ac:dyDescent="0.2">
      <c r="A1862" s="1"/>
      <c r="B1862" s="1"/>
      <c r="C1862" s="1"/>
      <c r="H1862" s="1"/>
      <c r="I1862" s="1"/>
      <c r="J1862" s="1"/>
    </row>
    <row r="1863" spans="1:10" x14ac:dyDescent="0.2">
      <c r="A1863" s="1"/>
      <c r="B1863" s="1"/>
      <c r="C1863" s="1"/>
      <c r="H1863" s="1"/>
      <c r="I1863" s="1"/>
      <c r="J1863" s="1"/>
    </row>
    <row r="1864" spans="1:10" x14ac:dyDescent="0.2">
      <c r="A1864" s="1"/>
      <c r="B1864" s="1"/>
      <c r="C1864" s="1"/>
      <c r="H1864" s="1"/>
      <c r="I1864" s="1"/>
      <c r="J1864" s="1"/>
    </row>
    <row r="1865" spans="1:10" x14ac:dyDescent="0.2">
      <c r="A1865" s="1"/>
      <c r="B1865" s="1"/>
      <c r="C1865" s="1"/>
      <c r="H1865" s="1"/>
      <c r="I1865" s="1"/>
      <c r="J1865" s="1"/>
    </row>
    <row r="1866" spans="1:10" x14ac:dyDescent="0.2">
      <c r="A1866" s="1"/>
      <c r="B1866" s="1"/>
      <c r="C1866" s="1"/>
      <c r="H1866" s="1"/>
      <c r="I1866" s="1"/>
      <c r="J1866" s="1"/>
    </row>
    <row r="1867" spans="1:10" x14ac:dyDescent="0.2">
      <c r="A1867" s="1"/>
      <c r="B1867" s="1"/>
      <c r="C1867" s="1"/>
      <c r="H1867" s="1"/>
      <c r="I1867" s="1"/>
      <c r="J1867" s="1"/>
    </row>
    <row r="1868" spans="1:10" x14ac:dyDescent="0.2">
      <c r="A1868" s="1"/>
      <c r="B1868" s="1"/>
      <c r="C1868" s="1"/>
      <c r="H1868" s="1"/>
      <c r="I1868" s="1"/>
      <c r="J1868" s="1"/>
    </row>
    <row r="1869" spans="1:10" x14ac:dyDescent="0.2">
      <c r="A1869" s="1"/>
      <c r="B1869" s="1"/>
      <c r="C1869" s="1"/>
      <c r="H1869" s="1"/>
      <c r="I1869" s="1"/>
      <c r="J1869" s="1"/>
    </row>
    <row r="1870" spans="1:10" x14ac:dyDescent="0.2">
      <c r="A1870" s="1"/>
      <c r="B1870" s="1"/>
      <c r="C1870" s="1"/>
      <c r="H1870" s="1"/>
      <c r="I1870" s="1"/>
      <c r="J1870" s="1"/>
    </row>
    <row r="1871" spans="1:10" x14ac:dyDescent="0.2">
      <c r="A1871" s="1"/>
      <c r="B1871" s="1"/>
      <c r="C1871" s="1"/>
      <c r="H1871" s="1"/>
      <c r="I1871" s="1"/>
      <c r="J1871" s="1"/>
    </row>
    <row r="1872" spans="1:10" x14ac:dyDescent="0.2">
      <c r="A1872" s="1"/>
      <c r="B1872" s="1"/>
      <c r="C1872" s="1"/>
      <c r="H1872" s="1"/>
      <c r="I1872" s="1"/>
      <c r="J1872" s="1"/>
    </row>
    <row r="1873" spans="1:10" x14ac:dyDescent="0.2">
      <c r="A1873" s="1"/>
      <c r="B1873" s="1"/>
      <c r="C1873" s="1"/>
      <c r="H1873" s="1"/>
      <c r="I1873" s="1"/>
      <c r="J1873" s="1"/>
    </row>
    <row r="1874" spans="1:10" x14ac:dyDescent="0.2">
      <c r="A1874" s="1"/>
      <c r="B1874" s="1"/>
      <c r="C1874" s="1"/>
      <c r="H1874" s="1"/>
      <c r="I1874" s="1"/>
      <c r="J1874" s="1"/>
    </row>
    <row r="1875" spans="1:10" x14ac:dyDescent="0.2">
      <c r="A1875" s="1"/>
      <c r="B1875" s="1"/>
      <c r="C1875" s="1"/>
      <c r="H1875" s="1"/>
      <c r="I1875" s="1"/>
      <c r="J1875" s="1"/>
    </row>
    <row r="1876" spans="1:10" x14ac:dyDescent="0.2">
      <c r="A1876" s="1"/>
      <c r="B1876" s="1"/>
      <c r="C1876" s="1"/>
      <c r="H1876" s="1"/>
      <c r="I1876" s="1"/>
      <c r="J1876" s="1"/>
    </row>
    <row r="1877" spans="1:10" x14ac:dyDescent="0.2">
      <c r="A1877" s="1"/>
      <c r="B1877" s="1"/>
      <c r="C1877" s="1"/>
      <c r="H1877" s="1"/>
      <c r="I1877" s="1"/>
      <c r="J1877" s="1"/>
    </row>
    <row r="1878" spans="1:10" x14ac:dyDescent="0.2">
      <c r="A1878" s="1"/>
      <c r="B1878" s="1"/>
      <c r="C1878" s="1"/>
      <c r="H1878" s="1"/>
      <c r="I1878" s="1"/>
      <c r="J1878" s="1"/>
    </row>
    <row r="1879" spans="1:10" x14ac:dyDescent="0.2">
      <c r="A1879" s="1"/>
      <c r="B1879" s="1"/>
      <c r="C1879" s="1"/>
      <c r="H1879" s="1"/>
      <c r="I1879" s="1"/>
      <c r="J1879" s="1"/>
    </row>
    <row r="1880" spans="1:10" x14ac:dyDescent="0.2">
      <c r="A1880" s="1"/>
      <c r="B1880" s="1"/>
      <c r="C1880" s="1"/>
      <c r="H1880" s="1"/>
      <c r="I1880" s="1"/>
      <c r="J1880" s="1"/>
    </row>
    <row r="1881" spans="1:10" x14ac:dyDescent="0.2">
      <c r="A1881" s="1"/>
      <c r="B1881" s="1"/>
      <c r="C1881" s="1"/>
      <c r="H1881" s="1"/>
      <c r="I1881" s="1"/>
      <c r="J1881" s="1"/>
    </row>
    <row r="1882" spans="1:10" x14ac:dyDescent="0.2">
      <c r="A1882" s="1"/>
      <c r="B1882" s="1"/>
      <c r="C1882" s="1"/>
      <c r="H1882" s="1"/>
      <c r="I1882" s="1"/>
      <c r="J1882" s="1"/>
    </row>
    <row r="1883" spans="1:10" x14ac:dyDescent="0.2">
      <c r="A1883" s="1"/>
      <c r="B1883" s="1"/>
      <c r="C1883" s="1"/>
      <c r="H1883" s="1"/>
      <c r="I1883" s="1"/>
      <c r="J1883" s="1"/>
    </row>
    <row r="1884" spans="1:10" x14ac:dyDescent="0.2">
      <c r="A1884" s="1"/>
      <c r="B1884" s="1"/>
      <c r="C1884" s="1"/>
      <c r="H1884" s="1"/>
      <c r="I1884" s="1"/>
      <c r="J1884" s="1"/>
    </row>
    <row r="1885" spans="1:10" x14ac:dyDescent="0.2">
      <c r="A1885" s="1"/>
      <c r="B1885" s="1"/>
      <c r="C1885" s="1"/>
      <c r="H1885" s="1"/>
      <c r="I1885" s="1"/>
      <c r="J1885" s="1"/>
    </row>
    <row r="1886" spans="1:10" x14ac:dyDescent="0.2">
      <c r="A1886" s="1"/>
      <c r="B1886" s="1"/>
      <c r="C1886" s="1"/>
      <c r="H1886" s="1"/>
      <c r="I1886" s="1"/>
      <c r="J1886" s="1"/>
    </row>
    <row r="1887" spans="1:10" x14ac:dyDescent="0.2">
      <c r="A1887" s="1"/>
      <c r="B1887" s="1"/>
      <c r="C1887" s="1"/>
      <c r="H1887" s="1"/>
      <c r="I1887" s="1"/>
      <c r="J1887" s="1"/>
    </row>
    <row r="1888" spans="1:10" x14ac:dyDescent="0.2">
      <c r="A1888" s="1"/>
      <c r="B1888" s="1"/>
      <c r="C1888" s="1"/>
      <c r="H1888" s="1"/>
      <c r="I1888" s="1"/>
      <c r="J1888" s="1"/>
    </row>
    <row r="1889" spans="1:10" x14ac:dyDescent="0.2">
      <c r="A1889" s="1"/>
      <c r="B1889" s="1"/>
      <c r="C1889" s="1"/>
      <c r="H1889" s="1"/>
      <c r="I1889" s="1"/>
      <c r="J1889" s="1"/>
    </row>
    <row r="1890" spans="1:10" x14ac:dyDescent="0.2">
      <c r="A1890" s="1"/>
      <c r="B1890" s="1"/>
      <c r="C1890" s="1"/>
      <c r="H1890" s="1"/>
      <c r="I1890" s="1"/>
      <c r="J1890" s="1"/>
    </row>
    <row r="1891" spans="1:10" x14ac:dyDescent="0.2">
      <c r="A1891" s="1"/>
      <c r="B1891" s="1"/>
      <c r="C1891" s="1"/>
      <c r="H1891" s="1"/>
      <c r="I1891" s="1"/>
      <c r="J1891" s="1"/>
    </row>
    <row r="1892" spans="1:10" x14ac:dyDescent="0.2">
      <c r="A1892" s="1"/>
      <c r="B1892" s="1"/>
      <c r="C1892" s="1"/>
      <c r="H1892" s="1"/>
      <c r="I1892" s="1"/>
      <c r="J1892" s="1"/>
    </row>
    <row r="1893" spans="1:10" x14ac:dyDescent="0.2">
      <c r="A1893" s="1"/>
      <c r="B1893" s="1"/>
      <c r="C1893" s="1"/>
      <c r="H1893" s="1"/>
      <c r="I1893" s="1"/>
      <c r="J1893" s="1"/>
    </row>
    <row r="1894" spans="1:10" x14ac:dyDescent="0.2">
      <c r="A1894" s="1"/>
      <c r="B1894" s="1"/>
      <c r="C1894" s="1"/>
      <c r="H1894" s="1"/>
      <c r="I1894" s="1"/>
      <c r="J1894" s="1"/>
    </row>
    <row r="1895" spans="1:10" x14ac:dyDescent="0.2">
      <c r="A1895" s="1"/>
      <c r="B1895" s="1"/>
      <c r="C1895" s="1"/>
      <c r="H1895" s="1"/>
      <c r="I1895" s="1"/>
      <c r="J1895" s="1"/>
    </row>
    <row r="1896" spans="1:10" x14ac:dyDescent="0.2">
      <c r="A1896" s="1"/>
      <c r="B1896" s="1"/>
      <c r="C1896" s="1"/>
      <c r="H1896" s="1"/>
      <c r="I1896" s="1"/>
      <c r="J1896" s="1"/>
    </row>
    <row r="1897" spans="1:10" x14ac:dyDescent="0.2">
      <c r="A1897" s="1"/>
      <c r="B1897" s="1"/>
      <c r="C1897" s="1"/>
      <c r="H1897" s="1"/>
      <c r="I1897" s="1"/>
      <c r="J1897" s="1"/>
    </row>
    <row r="1898" spans="1:10" x14ac:dyDescent="0.2">
      <c r="A1898" s="1"/>
      <c r="B1898" s="1"/>
      <c r="C1898" s="1"/>
      <c r="H1898" s="1"/>
      <c r="I1898" s="1"/>
      <c r="J1898" s="1"/>
    </row>
    <row r="1899" spans="1:10" x14ac:dyDescent="0.2">
      <c r="A1899" s="1"/>
      <c r="B1899" s="1"/>
      <c r="C1899" s="1"/>
      <c r="H1899" s="1"/>
      <c r="I1899" s="1"/>
      <c r="J1899" s="1"/>
    </row>
    <row r="1900" spans="1:10" x14ac:dyDescent="0.2">
      <c r="A1900" s="1"/>
      <c r="B1900" s="1"/>
      <c r="C1900" s="1"/>
      <c r="H1900" s="1"/>
      <c r="I1900" s="1"/>
      <c r="J1900" s="1"/>
    </row>
    <row r="1901" spans="1:10" x14ac:dyDescent="0.2">
      <c r="A1901" s="1"/>
      <c r="B1901" s="1"/>
      <c r="C1901" s="1"/>
      <c r="H1901" s="1"/>
      <c r="I1901" s="1"/>
      <c r="J1901" s="1"/>
    </row>
    <row r="1902" spans="1:10" x14ac:dyDescent="0.2">
      <c r="A1902" s="1"/>
      <c r="B1902" s="1"/>
      <c r="C1902" s="1"/>
      <c r="H1902" s="1"/>
      <c r="I1902" s="1"/>
      <c r="J1902" s="1"/>
    </row>
    <row r="1903" spans="1:10" x14ac:dyDescent="0.2">
      <c r="A1903" s="1"/>
      <c r="B1903" s="1"/>
      <c r="C1903" s="1"/>
      <c r="H1903" s="1"/>
      <c r="I1903" s="1"/>
      <c r="J1903" s="1"/>
    </row>
    <row r="1904" spans="1:10" x14ac:dyDescent="0.2">
      <c r="A1904" s="1"/>
      <c r="B1904" s="1"/>
      <c r="C1904" s="1"/>
      <c r="H1904" s="1"/>
      <c r="I1904" s="1"/>
      <c r="J1904" s="1"/>
    </row>
    <row r="1905" spans="1:10" x14ac:dyDescent="0.2">
      <c r="A1905" s="1"/>
      <c r="B1905" s="1"/>
      <c r="C1905" s="1"/>
      <c r="H1905" s="1"/>
      <c r="I1905" s="1"/>
      <c r="J1905" s="1"/>
    </row>
    <row r="1906" spans="1:10" x14ac:dyDescent="0.2">
      <c r="A1906" s="1"/>
      <c r="B1906" s="1"/>
      <c r="C1906" s="1"/>
      <c r="H1906" s="1"/>
      <c r="I1906" s="1"/>
      <c r="J1906" s="1"/>
    </row>
    <row r="1907" spans="1:10" x14ac:dyDescent="0.2">
      <c r="A1907" s="1"/>
      <c r="B1907" s="1"/>
      <c r="C1907" s="1"/>
      <c r="H1907" s="1"/>
      <c r="I1907" s="1"/>
      <c r="J1907" s="1"/>
    </row>
    <row r="1908" spans="1:10" x14ac:dyDescent="0.2">
      <c r="A1908" s="1"/>
      <c r="B1908" s="1"/>
      <c r="C1908" s="1"/>
      <c r="H1908" s="1"/>
      <c r="I1908" s="1"/>
      <c r="J1908" s="1"/>
    </row>
    <row r="1909" spans="1:10" x14ac:dyDescent="0.2">
      <c r="A1909" s="1"/>
      <c r="B1909" s="1"/>
      <c r="C1909" s="1"/>
      <c r="H1909" s="1"/>
      <c r="I1909" s="1"/>
      <c r="J1909" s="1"/>
    </row>
    <row r="1910" spans="1:10" x14ac:dyDescent="0.2">
      <c r="A1910" s="1"/>
      <c r="B1910" s="1"/>
      <c r="C1910" s="1"/>
      <c r="H1910" s="1"/>
      <c r="I1910" s="1"/>
      <c r="J1910" s="1"/>
    </row>
    <row r="1911" spans="1:10" x14ac:dyDescent="0.2">
      <c r="A1911" s="1"/>
      <c r="B1911" s="1"/>
      <c r="C1911" s="1"/>
      <c r="H1911" s="1"/>
      <c r="I1911" s="1"/>
      <c r="J1911" s="1"/>
    </row>
    <row r="1912" spans="1:10" x14ac:dyDescent="0.2">
      <c r="A1912" s="1"/>
      <c r="B1912" s="1"/>
      <c r="C1912" s="1"/>
      <c r="H1912" s="1"/>
      <c r="I1912" s="1"/>
      <c r="J1912" s="1"/>
    </row>
    <row r="1913" spans="1:10" x14ac:dyDescent="0.2">
      <c r="A1913" s="1"/>
      <c r="B1913" s="1"/>
      <c r="C1913" s="1"/>
      <c r="H1913" s="1"/>
      <c r="I1913" s="1"/>
      <c r="J1913" s="1"/>
    </row>
    <row r="1914" spans="1:10" x14ac:dyDescent="0.2">
      <c r="A1914" s="1"/>
      <c r="B1914" s="1"/>
      <c r="C1914" s="1"/>
      <c r="H1914" s="1"/>
      <c r="I1914" s="1"/>
      <c r="J1914" s="1"/>
    </row>
    <row r="1915" spans="1:10" x14ac:dyDescent="0.2">
      <c r="A1915" s="1"/>
      <c r="B1915" s="1"/>
      <c r="C1915" s="1"/>
      <c r="H1915" s="1"/>
      <c r="I1915" s="1"/>
      <c r="J1915" s="1"/>
    </row>
    <row r="1916" spans="1:10" x14ac:dyDescent="0.2">
      <c r="A1916" s="1"/>
      <c r="B1916" s="1"/>
      <c r="C1916" s="1"/>
      <c r="H1916" s="1"/>
      <c r="I1916" s="1"/>
      <c r="J1916" s="1"/>
    </row>
    <row r="1917" spans="1:10" x14ac:dyDescent="0.2">
      <c r="A1917" s="1"/>
      <c r="B1917" s="1"/>
      <c r="C1917" s="1"/>
      <c r="H1917" s="1"/>
      <c r="I1917" s="1"/>
      <c r="J1917" s="1"/>
    </row>
    <row r="1918" spans="1:10" x14ac:dyDescent="0.2">
      <c r="A1918" s="1"/>
      <c r="B1918" s="1"/>
      <c r="C1918" s="1"/>
      <c r="H1918" s="1"/>
      <c r="I1918" s="1"/>
      <c r="J1918" s="1"/>
    </row>
    <row r="1919" spans="1:10" x14ac:dyDescent="0.2">
      <c r="A1919" s="1"/>
      <c r="B1919" s="1"/>
      <c r="C1919" s="1"/>
      <c r="H1919" s="1"/>
      <c r="I1919" s="1"/>
      <c r="J1919" s="1"/>
    </row>
    <row r="1920" spans="1:10" x14ac:dyDescent="0.2">
      <c r="A1920" s="1"/>
      <c r="B1920" s="1"/>
      <c r="C1920" s="1"/>
      <c r="H1920" s="1"/>
      <c r="I1920" s="1"/>
      <c r="J1920" s="1"/>
    </row>
    <row r="1921" spans="1:10" x14ac:dyDescent="0.2">
      <c r="A1921" s="1"/>
      <c r="B1921" s="1"/>
      <c r="C1921" s="1"/>
      <c r="H1921" s="1"/>
      <c r="I1921" s="1"/>
      <c r="J1921" s="1"/>
    </row>
    <row r="1922" spans="1:10" x14ac:dyDescent="0.2">
      <c r="A1922" s="1"/>
      <c r="B1922" s="1"/>
      <c r="C1922" s="1"/>
      <c r="H1922" s="1"/>
      <c r="I1922" s="1"/>
      <c r="J1922" s="1"/>
    </row>
    <row r="1923" spans="1:10" x14ac:dyDescent="0.2">
      <c r="A1923" s="1"/>
      <c r="B1923" s="1"/>
      <c r="C1923" s="1"/>
      <c r="H1923" s="1"/>
      <c r="I1923" s="1"/>
      <c r="J1923" s="1"/>
    </row>
    <row r="1924" spans="1:10" x14ac:dyDescent="0.2">
      <c r="A1924" s="1"/>
      <c r="B1924" s="1"/>
      <c r="C1924" s="1"/>
      <c r="H1924" s="1"/>
      <c r="I1924" s="1"/>
      <c r="J1924" s="1"/>
    </row>
    <row r="1925" spans="1:10" x14ac:dyDescent="0.2">
      <c r="A1925" s="1"/>
      <c r="B1925" s="1"/>
      <c r="C1925" s="1"/>
      <c r="H1925" s="1"/>
      <c r="I1925" s="1"/>
      <c r="J1925" s="1"/>
    </row>
    <row r="1926" spans="1:10" x14ac:dyDescent="0.2">
      <c r="A1926" s="1"/>
      <c r="B1926" s="1"/>
      <c r="C1926" s="1"/>
      <c r="H1926" s="1"/>
      <c r="I1926" s="1"/>
      <c r="J1926" s="1"/>
    </row>
    <row r="1927" spans="1:10" x14ac:dyDescent="0.2">
      <c r="A1927" s="1"/>
      <c r="B1927" s="1"/>
      <c r="C1927" s="1"/>
      <c r="H1927" s="1"/>
      <c r="I1927" s="1"/>
      <c r="J1927" s="1"/>
    </row>
    <row r="1928" spans="1:10" x14ac:dyDescent="0.2">
      <c r="A1928" s="1"/>
      <c r="B1928" s="1"/>
      <c r="C1928" s="1"/>
      <c r="H1928" s="1"/>
      <c r="I1928" s="1"/>
      <c r="J1928" s="1"/>
    </row>
    <row r="1929" spans="1:10" x14ac:dyDescent="0.2">
      <c r="A1929" s="1"/>
      <c r="B1929" s="1"/>
      <c r="C1929" s="1"/>
      <c r="H1929" s="1"/>
      <c r="I1929" s="1"/>
      <c r="J1929" s="1"/>
    </row>
    <row r="1930" spans="1:10" x14ac:dyDescent="0.2">
      <c r="A1930" s="1"/>
      <c r="B1930" s="1"/>
      <c r="C1930" s="1"/>
      <c r="H1930" s="1"/>
      <c r="I1930" s="1"/>
      <c r="J1930" s="1"/>
    </row>
    <row r="1931" spans="1:10" x14ac:dyDescent="0.2">
      <c r="A1931" s="1"/>
      <c r="B1931" s="1"/>
      <c r="C1931" s="1"/>
      <c r="H1931" s="1"/>
      <c r="I1931" s="1"/>
      <c r="J1931" s="1"/>
    </row>
    <row r="1932" spans="1:10" x14ac:dyDescent="0.2">
      <c r="A1932" s="1"/>
      <c r="B1932" s="1"/>
      <c r="C1932" s="1"/>
      <c r="H1932" s="1"/>
      <c r="I1932" s="1"/>
      <c r="J1932" s="1"/>
    </row>
    <row r="1933" spans="1:10" x14ac:dyDescent="0.2">
      <c r="A1933" s="1"/>
      <c r="B1933" s="1"/>
      <c r="C1933" s="1"/>
      <c r="H1933" s="1"/>
      <c r="I1933" s="1"/>
      <c r="J1933" s="1"/>
    </row>
    <row r="1934" spans="1:10" x14ac:dyDescent="0.2">
      <c r="A1934" s="1"/>
      <c r="B1934" s="1"/>
      <c r="C1934" s="1"/>
      <c r="H1934" s="1"/>
      <c r="I1934" s="1"/>
      <c r="J1934" s="1"/>
    </row>
    <row r="1935" spans="1:10" x14ac:dyDescent="0.2">
      <c r="A1935" s="1"/>
      <c r="B1935" s="1"/>
      <c r="C1935" s="1"/>
      <c r="H1935" s="1"/>
      <c r="I1935" s="1"/>
      <c r="J1935" s="1"/>
    </row>
    <row r="1936" spans="1:10" x14ac:dyDescent="0.2">
      <c r="A1936" s="1"/>
      <c r="B1936" s="1"/>
      <c r="C1936" s="1"/>
      <c r="H1936" s="1"/>
      <c r="I1936" s="1"/>
      <c r="J1936" s="1"/>
    </row>
    <row r="1937" spans="1:10" x14ac:dyDescent="0.2">
      <c r="A1937" s="1"/>
      <c r="B1937" s="1"/>
      <c r="C1937" s="1"/>
      <c r="H1937" s="1"/>
      <c r="I1937" s="1"/>
      <c r="J1937" s="1"/>
    </row>
    <row r="1938" spans="1:10" x14ac:dyDescent="0.2">
      <c r="A1938" s="1"/>
      <c r="B1938" s="1"/>
      <c r="C1938" s="1"/>
      <c r="H1938" s="1"/>
      <c r="I1938" s="1"/>
      <c r="J1938" s="1"/>
    </row>
    <row r="1939" spans="1:10" x14ac:dyDescent="0.2">
      <c r="A1939" s="1"/>
      <c r="B1939" s="1"/>
      <c r="C1939" s="1"/>
      <c r="H1939" s="1"/>
      <c r="I1939" s="1"/>
      <c r="J1939" s="1"/>
    </row>
    <row r="1940" spans="1:10" x14ac:dyDescent="0.2">
      <c r="A1940" s="1"/>
      <c r="B1940" s="1"/>
      <c r="C1940" s="1"/>
      <c r="H1940" s="1"/>
      <c r="I1940" s="1"/>
      <c r="J1940" s="1"/>
    </row>
    <row r="1941" spans="1:10" x14ac:dyDescent="0.2">
      <c r="A1941" s="1"/>
      <c r="B1941" s="1"/>
      <c r="C1941" s="1"/>
      <c r="H1941" s="1"/>
      <c r="I1941" s="1"/>
      <c r="J1941" s="1"/>
    </row>
    <row r="1942" spans="1:10" x14ac:dyDescent="0.2">
      <c r="A1942" s="1"/>
      <c r="B1942" s="1"/>
      <c r="C1942" s="1"/>
      <c r="H1942" s="1"/>
      <c r="I1942" s="1"/>
      <c r="J1942" s="1"/>
    </row>
    <row r="1943" spans="1:10" x14ac:dyDescent="0.2">
      <c r="A1943" s="1"/>
      <c r="B1943" s="1"/>
      <c r="C1943" s="1"/>
      <c r="H1943" s="1"/>
      <c r="I1943" s="1"/>
      <c r="J1943" s="1"/>
    </row>
    <row r="1944" spans="1:10" x14ac:dyDescent="0.2">
      <c r="A1944" s="1"/>
      <c r="B1944" s="1"/>
      <c r="C1944" s="1"/>
      <c r="H1944" s="1"/>
      <c r="I1944" s="1"/>
      <c r="J1944" s="1"/>
    </row>
    <row r="1945" spans="1:10" x14ac:dyDescent="0.2">
      <c r="A1945" s="1"/>
      <c r="B1945" s="1"/>
      <c r="C1945" s="1"/>
      <c r="H1945" s="1"/>
      <c r="I1945" s="1"/>
      <c r="J1945" s="1"/>
    </row>
    <row r="1946" spans="1:10" x14ac:dyDescent="0.2">
      <c r="A1946" s="1"/>
      <c r="B1946" s="1"/>
      <c r="C1946" s="1"/>
      <c r="H1946" s="1"/>
      <c r="I1946" s="1"/>
      <c r="J1946" s="1"/>
    </row>
    <row r="1947" spans="1:10" x14ac:dyDescent="0.2">
      <c r="A1947" s="1"/>
      <c r="B1947" s="1"/>
      <c r="C1947" s="1"/>
      <c r="H1947" s="1"/>
      <c r="I1947" s="1"/>
      <c r="J1947" s="1"/>
    </row>
    <row r="1948" spans="1:10" x14ac:dyDescent="0.2">
      <c r="A1948" s="1"/>
      <c r="B1948" s="1"/>
      <c r="C1948" s="1"/>
      <c r="H1948" s="1"/>
      <c r="I1948" s="1"/>
      <c r="J1948" s="1"/>
    </row>
    <row r="1949" spans="1:10" x14ac:dyDescent="0.2">
      <c r="A1949" s="1"/>
      <c r="B1949" s="1"/>
      <c r="C1949" s="1"/>
      <c r="H1949" s="1"/>
      <c r="I1949" s="1"/>
      <c r="J1949" s="1"/>
    </row>
    <row r="1950" spans="1:10" x14ac:dyDescent="0.2">
      <c r="A1950" s="1"/>
      <c r="B1950" s="1"/>
      <c r="C1950" s="1"/>
      <c r="H1950" s="1"/>
      <c r="I1950" s="1"/>
      <c r="J1950" s="1"/>
    </row>
    <row r="1951" spans="1:10" x14ac:dyDescent="0.2">
      <c r="A1951" s="1"/>
      <c r="B1951" s="1"/>
      <c r="C1951" s="1"/>
      <c r="H1951" s="1"/>
      <c r="I1951" s="1"/>
      <c r="J1951" s="1"/>
    </row>
    <row r="1952" spans="1:10" x14ac:dyDescent="0.2">
      <c r="A1952" s="1"/>
      <c r="B1952" s="1"/>
      <c r="C1952" s="1"/>
      <c r="H1952" s="1"/>
      <c r="I1952" s="1"/>
      <c r="J1952" s="1"/>
    </row>
    <row r="1953" spans="1:10" x14ac:dyDescent="0.2">
      <c r="A1953" s="1"/>
      <c r="B1953" s="1"/>
      <c r="C1953" s="1"/>
      <c r="H1953" s="1"/>
      <c r="I1953" s="1"/>
      <c r="J1953" s="1"/>
    </row>
    <row r="1954" spans="1:10" x14ac:dyDescent="0.2">
      <c r="A1954" s="1"/>
      <c r="B1954" s="1"/>
      <c r="C1954" s="1"/>
      <c r="H1954" s="1"/>
      <c r="I1954" s="1"/>
      <c r="J1954" s="1"/>
    </row>
    <row r="1955" spans="1:10" x14ac:dyDescent="0.2">
      <c r="A1955" s="1"/>
      <c r="B1955" s="1"/>
      <c r="C1955" s="1"/>
      <c r="H1955" s="1"/>
      <c r="I1955" s="1"/>
      <c r="J1955" s="1"/>
    </row>
    <row r="1956" spans="1:10" x14ac:dyDescent="0.2">
      <c r="A1956" s="1"/>
      <c r="B1956" s="1"/>
      <c r="C1956" s="1"/>
      <c r="H1956" s="1"/>
      <c r="I1956" s="1"/>
      <c r="J1956" s="1"/>
    </row>
    <row r="1957" spans="1:10" x14ac:dyDescent="0.2">
      <c r="A1957" s="1"/>
      <c r="B1957" s="1"/>
      <c r="C1957" s="1"/>
      <c r="H1957" s="1"/>
      <c r="I1957" s="1"/>
      <c r="J1957" s="1"/>
    </row>
    <row r="1958" spans="1:10" x14ac:dyDescent="0.2">
      <c r="A1958" s="1"/>
      <c r="B1958" s="1"/>
      <c r="C1958" s="1"/>
      <c r="H1958" s="1"/>
      <c r="I1958" s="1"/>
      <c r="J1958" s="1"/>
    </row>
    <row r="1959" spans="1:10" x14ac:dyDescent="0.2">
      <c r="A1959" s="1"/>
      <c r="B1959" s="1"/>
      <c r="C1959" s="1"/>
      <c r="H1959" s="1"/>
      <c r="I1959" s="1"/>
      <c r="J1959" s="1"/>
    </row>
    <row r="1960" spans="1:10" x14ac:dyDescent="0.2">
      <c r="A1960" s="1"/>
      <c r="B1960" s="1"/>
      <c r="C1960" s="1"/>
      <c r="H1960" s="1"/>
      <c r="I1960" s="1"/>
      <c r="J1960" s="1"/>
    </row>
    <row r="1961" spans="1:10" x14ac:dyDescent="0.2">
      <c r="A1961" s="1"/>
      <c r="B1961" s="1"/>
      <c r="C1961" s="1"/>
      <c r="H1961" s="1"/>
      <c r="I1961" s="1"/>
      <c r="J1961" s="1"/>
    </row>
    <row r="1962" spans="1:10" x14ac:dyDescent="0.2">
      <c r="A1962" s="1"/>
      <c r="B1962" s="1"/>
      <c r="C1962" s="1"/>
      <c r="H1962" s="1"/>
      <c r="I1962" s="1"/>
      <c r="J1962" s="1"/>
    </row>
    <row r="1963" spans="1:10" x14ac:dyDescent="0.2">
      <c r="A1963" s="1"/>
      <c r="B1963" s="1"/>
      <c r="C1963" s="1"/>
      <c r="H1963" s="1"/>
      <c r="I1963" s="1"/>
      <c r="J1963" s="1"/>
    </row>
    <row r="1964" spans="1:10" x14ac:dyDescent="0.2">
      <c r="A1964" s="1"/>
      <c r="B1964" s="1"/>
      <c r="C1964" s="1"/>
      <c r="H1964" s="1"/>
      <c r="I1964" s="1"/>
      <c r="J1964" s="1"/>
    </row>
    <row r="1965" spans="1:10" x14ac:dyDescent="0.2">
      <c r="A1965" s="1"/>
      <c r="B1965" s="1"/>
      <c r="C1965" s="1"/>
      <c r="H1965" s="1"/>
      <c r="I1965" s="1"/>
      <c r="J1965" s="1"/>
    </row>
    <row r="1966" spans="1:10" x14ac:dyDescent="0.2">
      <c r="A1966" s="1"/>
      <c r="B1966" s="1"/>
      <c r="C1966" s="1"/>
      <c r="H1966" s="1"/>
      <c r="I1966" s="1"/>
      <c r="J1966" s="1"/>
    </row>
    <row r="1967" spans="1:10" x14ac:dyDescent="0.2">
      <c r="A1967" s="1"/>
      <c r="B1967" s="1"/>
      <c r="C1967" s="1"/>
      <c r="H1967" s="1"/>
      <c r="I1967" s="1"/>
      <c r="J1967" s="1"/>
    </row>
    <row r="1968" spans="1:10" x14ac:dyDescent="0.2">
      <c r="A1968" s="1"/>
      <c r="B1968" s="1"/>
      <c r="C1968" s="1"/>
      <c r="H1968" s="1"/>
      <c r="I1968" s="1"/>
      <c r="J1968" s="1"/>
    </row>
    <row r="1969" spans="1:10" x14ac:dyDescent="0.2">
      <c r="A1969" s="1"/>
      <c r="B1969" s="1"/>
      <c r="C1969" s="1"/>
      <c r="H1969" s="1"/>
      <c r="I1969" s="1"/>
      <c r="J1969" s="1"/>
    </row>
    <row r="1970" spans="1:10" x14ac:dyDescent="0.2">
      <c r="A1970" s="1"/>
      <c r="B1970" s="1"/>
      <c r="C1970" s="1"/>
      <c r="H1970" s="1"/>
      <c r="I1970" s="1"/>
      <c r="J1970" s="1"/>
    </row>
    <row r="1971" spans="1:10" x14ac:dyDescent="0.2">
      <c r="A1971" s="1"/>
      <c r="B1971" s="1"/>
      <c r="C1971" s="1"/>
      <c r="H1971" s="1"/>
      <c r="I1971" s="1"/>
      <c r="J1971" s="1"/>
    </row>
    <row r="1972" spans="1:10" x14ac:dyDescent="0.2">
      <c r="A1972" s="1"/>
      <c r="B1972" s="1"/>
      <c r="C1972" s="1"/>
      <c r="H1972" s="1"/>
      <c r="I1972" s="1"/>
      <c r="J1972" s="1"/>
    </row>
    <row r="1973" spans="1:10" x14ac:dyDescent="0.2">
      <c r="A1973" s="1"/>
      <c r="B1973" s="1"/>
      <c r="C1973" s="1"/>
      <c r="H1973" s="1"/>
      <c r="I1973" s="1"/>
      <c r="J1973" s="1"/>
    </row>
    <row r="1974" spans="1:10" x14ac:dyDescent="0.2">
      <c r="A1974" s="1"/>
      <c r="B1974" s="1"/>
      <c r="C1974" s="1"/>
      <c r="H1974" s="1"/>
      <c r="I1974" s="1"/>
      <c r="J1974" s="1"/>
    </row>
    <row r="1975" spans="1:10" x14ac:dyDescent="0.2">
      <c r="A1975" s="1"/>
      <c r="B1975" s="1"/>
      <c r="C1975" s="1"/>
      <c r="H1975" s="1"/>
      <c r="I1975" s="1"/>
      <c r="J1975" s="1"/>
    </row>
    <row r="1976" spans="1:10" x14ac:dyDescent="0.2">
      <c r="A1976" s="1"/>
      <c r="B1976" s="1"/>
      <c r="C1976" s="1"/>
      <c r="H1976" s="1"/>
      <c r="I1976" s="1"/>
      <c r="J1976" s="1"/>
    </row>
    <row r="1977" spans="1:10" x14ac:dyDescent="0.2">
      <c r="A1977" s="1"/>
      <c r="B1977" s="1"/>
      <c r="C1977" s="1"/>
      <c r="H1977" s="1"/>
      <c r="I1977" s="1"/>
      <c r="J1977" s="1"/>
    </row>
    <row r="1978" spans="1:10" x14ac:dyDescent="0.2">
      <c r="A1978" s="1"/>
      <c r="B1978" s="1"/>
      <c r="C1978" s="1"/>
      <c r="H1978" s="1"/>
      <c r="I1978" s="1"/>
      <c r="J1978" s="1"/>
    </row>
    <row r="1979" spans="1:10" x14ac:dyDescent="0.2">
      <c r="A1979" s="1"/>
      <c r="B1979" s="1"/>
      <c r="C1979" s="1"/>
      <c r="H1979" s="1"/>
      <c r="I1979" s="1"/>
      <c r="J1979" s="1"/>
    </row>
    <row r="1980" spans="1:10" x14ac:dyDescent="0.2">
      <c r="A1980" s="1"/>
      <c r="B1980" s="1"/>
      <c r="C1980" s="1"/>
      <c r="H1980" s="1"/>
      <c r="I1980" s="1"/>
      <c r="J1980" s="1"/>
    </row>
    <row r="1981" spans="1:10" x14ac:dyDescent="0.2">
      <c r="A1981" s="1"/>
      <c r="B1981" s="1"/>
      <c r="C1981" s="1"/>
      <c r="H1981" s="1"/>
      <c r="I1981" s="1"/>
      <c r="J1981" s="1"/>
    </row>
    <row r="1982" spans="1:10" x14ac:dyDescent="0.2">
      <c r="A1982" s="1"/>
      <c r="B1982" s="1"/>
      <c r="C1982" s="1"/>
      <c r="H1982" s="1"/>
      <c r="I1982" s="1"/>
      <c r="J1982" s="1"/>
    </row>
    <row r="1983" spans="1:10" x14ac:dyDescent="0.2">
      <c r="A1983" s="1"/>
      <c r="B1983" s="1"/>
      <c r="C1983" s="1"/>
      <c r="H1983" s="1"/>
      <c r="I1983" s="1"/>
      <c r="J1983" s="1"/>
    </row>
    <row r="1984" spans="1:10" x14ac:dyDescent="0.2">
      <c r="A1984" s="1"/>
      <c r="B1984" s="1"/>
      <c r="C1984" s="1"/>
      <c r="H1984" s="1"/>
      <c r="I1984" s="1"/>
      <c r="J1984" s="1"/>
    </row>
    <row r="1985" spans="1:10" x14ac:dyDescent="0.2">
      <c r="A1985" s="1"/>
      <c r="B1985" s="1"/>
      <c r="C1985" s="1"/>
      <c r="H1985" s="1"/>
      <c r="I1985" s="1"/>
      <c r="J1985" s="1"/>
    </row>
    <row r="1986" spans="1:10" x14ac:dyDescent="0.2">
      <c r="A1986" s="1"/>
      <c r="B1986" s="1"/>
      <c r="C1986" s="1"/>
      <c r="H1986" s="1"/>
      <c r="I1986" s="1"/>
      <c r="J1986" s="1"/>
    </row>
    <row r="1987" spans="1:10" x14ac:dyDescent="0.2">
      <c r="A1987" s="1"/>
      <c r="B1987" s="1"/>
      <c r="C1987" s="1"/>
      <c r="H1987" s="1"/>
      <c r="I1987" s="1"/>
      <c r="J1987" s="1"/>
    </row>
    <row r="1988" spans="1:10" x14ac:dyDescent="0.2">
      <c r="A1988" s="1"/>
      <c r="B1988" s="1"/>
      <c r="C1988" s="1"/>
      <c r="H1988" s="1"/>
      <c r="I1988" s="1"/>
      <c r="J1988" s="1"/>
    </row>
    <row r="1989" spans="1:10" x14ac:dyDescent="0.2">
      <c r="A1989" s="1"/>
      <c r="B1989" s="1"/>
      <c r="C1989" s="1"/>
      <c r="H1989" s="1"/>
      <c r="I1989" s="1"/>
      <c r="J1989" s="1"/>
    </row>
    <row r="1990" spans="1:10" x14ac:dyDescent="0.2">
      <c r="A1990" s="1"/>
      <c r="B1990" s="1"/>
      <c r="C1990" s="1"/>
      <c r="H1990" s="1"/>
      <c r="I1990" s="1"/>
      <c r="J1990" s="1"/>
    </row>
    <row r="1991" spans="1:10" x14ac:dyDescent="0.2">
      <c r="A1991" s="1"/>
      <c r="B1991" s="1"/>
      <c r="C1991" s="1"/>
      <c r="H1991" s="1"/>
      <c r="I1991" s="1"/>
      <c r="J1991" s="1"/>
    </row>
    <row r="1992" spans="1:10" x14ac:dyDescent="0.2">
      <c r="A1992" s="1"/>
      <c r="B1992" s="1"/>
      <c r="C1992" s="1"/>
      <c r="H1992" s="1"/>
      <c r="I1992" s="1"/>
      <c r="J1992" s="1"/>
    </row>
    <row r="1993" spans="1:10" x14ac:dyDescent="0.2">
      <c r="A1993" s="1"/>
      <c r="B1993" s="1"/>
      <c r="C1993" s="1"/>
      <c r="H1993" s="1"/>
      <c r="I1993" s="1"/>
      <c r="J1993" s="1"/>
    </row>
    <row r="1994" spans="1:10" x14ac:dyDescent="0.2">
      <c r="A1994" s="1"/>
      <c r="B1994" s="1"/>
      <c r="C1994" s="1"/>
      <c r="H1994" s="1"/>
      <c r="I1994" s="1"/>
      <c r="J1994" s="1"/>
    </row>
    <row r="1995" spans="1:10" x14ac:dyDescent="0.2">
      <c r="A1995" s="1"/>
      <c r="B1995" s="1"/>
      <c r="C1995" s="1"/>
      <c r="H1995" s="1"/>
      <c r="I1995" s="1"/>
      <c r="J1995" s="1"/>
    </row>
    <row r="1996" spans="1:10" x14ac:dyDescent="0.2">
      <c r="A1996" s="1"/>
      <c r="B1996" s="1"/>
      <c r="C1996" s="1"/>
      <c r="H1996" s="1"/>
      <c r="I1996" s="1"/>
      <c r="J1996" s="1"/>
    </row>
    <row r="1997" spans="1:10" x14ac:dyDescent="0.2">
      <c r="A1997" s="1"/>
      <c r="B1997" s="1"/>
      <c r="C1997" s="1"/>
      <c r="H1997" s="1"/>
      <c r="I1997" s="1"/>
      <c r="J1997" s="1"/>
    </row>
    <row r="1998" spans="1:10" x14ac:dyDescent="0.2">
      <c r="A1998" s="1"/>
      <c r="B1998" s="1"/>
      <c r="C1998" s="1"/>
      <c r="H1998" s="1"/>
      <c r="I1998" s="1"/>
      <c r="J1998" s="1"/>
    </row>
    <row r="1999" spans="1:10" x14ac:dyDescent="0.2">
      <c r="A1999" s="1"/>
      <c r="B1999" s="1"/>
      <c r="C1999" s="1"/>
      <c r="H1999" s="1"/>
      <c r="I1999" s="1"/>
      <c r="J1999" s="1"/>
    </row>
    <row r="2000" spans="1:10" x14ac:dyDescent="0.2">
      <c r="A2000" s="1"/>
      <c r="B2000" s="1"/>
      <c r="C2000" s="1"/>
      <c r="H2000" s="1"/>
      <c r="I2000" s="1"/>
      <c r="J2000" s="1"/>
    </row>
    <row r="2001" spans="1:10" x14ac:dyDescent="0.2">
      <c r="A2001" s="1"/>
      <c r="B2001" s="1"/>
      <c r="C2001" s="1"/>
      <c r="H2001" s="1"/>
      <c r="I2001" s="1"/>
      <c r="J2001" s="1"/>
    </row>
    <row r="2002" spans="1:10" x14ac:dyDescent="0.2">
      <c r="A2002" s="1"/>
      <c r="B2002" s="1"/>
      <c r="C2002" s="1"/>
      <c r="H2002" s="1"/>
      <c r="I2002" s="1"/>
      <c r="J2002" s="1"/>
    </row>
    <row r="2003" spans="1:10" x14ac:dyDescent="0.2">
      <c r="A2003" s="1"/>
      <c r="B2003" s="1"/>
      <c r="C2003" s="1"/>
      <c r="H2003" s="1"/>
      <c r="I2003" s="1"/>
      <c r="J2003" s="1"/>
    </row>
    <row r="2004" spans="1:10" x14ac:dyDescent="0.2">
      <c r="A2004" s="1"/>
      <c r="B2004" s="1"/>
      <c r="C2004" s="1"/>
      <c r="H2004" s="1"/>
      <c r="I2004" s="1"/>
      <c r="J2004" s="1"/>
    </row>
    <row r="2005" spans="1:10" x14ac:dyDescent="0.2">
      <c r="A2005" s="1"/>
      <c r="B2005" s="1"/>
      <c r="C2005" s="1"/>
      <c r="H2005" s="1"/>
      <c r="I2005" s="1"/>
      <c r="J2005" s="1"/>
    </row>
    <row r="2006" spans="1:10" x14ac:dyDescent="0.2">
      <c r="A2006" s="1"/>
      <c r="B2006" s="1"/>
      <c r="C2006" s="1"/>
      <c r="H2006" s="1"/>
      <c r="I2006" s="1"/>
      <c r="J2006" s="1"/>
    </row>
    <row r="2007" spans="1:10" x14ac:dyDescent="0.2">
      <c r="A2007" s="1"/>
      <c r="B2007" s="1"/>
      <c r="C2007" s="1"/>
      <c r="H2007" s="1"/>
      <c r="I2007" s="1"/>
      <c r="J2007" s="1"/>
    </row>
    <row r="2008" spans="1:10" x14ac:dyDescent="0.2">
      <c r="A2008" s="1"/>
      <c r="B2008" s="1"/>
      <c r="C2008" s="1"/>
      <c r="H2008" s="1"/>
      <c r="I2008" s="1"/>
      <c r="J2008" s="1"/>
    </row>
    <row r="2009" spans="1:10" x14ac:dyDescent="0.2">
      <c r="A2009" s="1"/>
      <c r="B2009" s="1"/>
      <c r="C2009" s="1"/>
      <c r="H2009" s="1"/>
      <c r="I2009" s="1"/>
      <c r="J2009" s="1"/>
    </row>
    <row r="2010" spans="1:10" x14ac:dyDescent="0.2">
      <c r="A2010" s="1"/>
      <c r="B2010" s="1"/>
      <c r="C2010" s="1"/>
      <c r="H2010" s="1"/>
      <c r="I2010" s="1"/>
      <c r="J2010" s="1"/>
    </row>
    <row r="2011" spans="1:10" x14ac:dyDescent="0.2">
      <c r="A2011" s="1"/>
      <c r="B2011" s="1"/>
      <c r="C2011" s="1"/>
      <c r="H2011" s="1"/>
      <c r="I2011" s="1"/>
      <c r="J2011" s="1"/>
    </row>
    <row r="2012" spans="1:10" x14ac:dyDescent="0.2">
      <c r="A2012" s="1"/>
      <c r="B2012" s="1"/>
      <c r="C2012" s="1"/>
      <c r="H2012" s="1"/>
      <c r="I2012" s="1"/>
      <c r="J2012" s="1"/>
    </row>
    <row r="2013" spans="1:10" x14ac:dyDescent="0.2">
      <c r="A2013" s="1"/>
      <c r="B2013" s="1"/>
      <c r="C2013" s="1"/>
      <c r="H2013" s="1"/>
      <c r="I2013" s="1"/>
      <c r="J2013" s="1"/>
    </row>
    <row r="2014" spans="1:10" x14ac:dyDescent="0.2">
      <c r="A2014" s="1"/>
      <c r="B2014" s="1"/>
      <c r="C2014" s="1"/>
      <c r="H2014" s="1"/>
      <c r="I2014" s="1"/>
      <c r="J2014" s="1"/>
    </row>
    <row r="2015" spans="1:10" x14ac:dyDescent="0.2">
      <c r="A2015" s="1"/>
      <c r="B2015" s="1"/>
      <c r="C2015" s="1"/>
      <c r="H2015" s="1"/>
      <c r="I2015" s="1"/>
      <c r="J2015" s="1"/>
    </row>
    <row r="2016" spans="1:10" x14ac:dyDescent="0.2">
      <c r="A2016" s="1"/>
      <c r="B2016" s="1"/>
      <c r="C2016" s="1"/>
      <c r="H2016" s="1"/>
      <c r="I2016" s="1"/>
      <c r="J2016" s="1"/>
    </row>
    <row r="2017" spans="1:10" x14ac:dyDescent="0.2">
      <c r="A2017" s="1"/>
      <c r="B2017" s="1"/>
      <c r="C2017" s="1"/>
      <c r="H2017" s="1"/>
      <c r="I2017" s="1"/>
      <c r="J2017" s="1"/>
    </row>
    <row r="2018" spans="1:10" x14ac:dyDescent="0.2">
      <c r="A2018" s="1"/>
      <c r="B2018" s="1"/>
      <c r="C2018" s="1"/>
      <c r="H2018" s="1"/>
      <c r="I2018" s="1"/>
      <c r="J2018" s="1"/>
    </row>
    <row r="2019" spans="1:10" x14ac:dyDescent="0.2">
      <c r="A2019" s="1"/>
      <c r="B2019" s="1"/>
      <c r="C2019" s="1"/>
      <c r="H2019" s="1"/>
      <c r="I2019" s="1"/>
      <c r="J2019" s="1"/>
    </row>
    <row r="2020" spans="1:10" x14ac:dyDescent="0.2">
      <c r="A2020" s="1"/>
      <c r="B2020" s="1"/>
      <c r="C2020" s="1"/>
      <c r="H2020" s="1"/>
      <c r="I2020" s="1"/>
      <c r="J2020" s="1"/>
    </row>
    <row r="2021" spans="1:10" x14ac:dyDescent="0.2">
      <c r="A2021" s="1"/>
      <c r="B2021" s="1"/>
      <c r="C2021" s="1"/>
      <c r="H2021" s="1"/>
      <c r="I2021" s="1"/>
      <c r="J2021" s="1"/>
    </row>
    <row r="2022" spans="1:10" x14ac:dyDescent="0.2">
      <c r="A2022" s="1"/>
      <c r="B2022" s="1"/>
      <c r="C2022" s="1"/>
      <c r="H2022" s="1"/>
      <c r="I2022" s="1"/>
      <c r="J2022" s="1"/>
    </row>
    <row r="2023" spans="1:10" x14ac:dyDescent="0.2">
      <c r="A2023" s="1"/>
      <c r="B2023" s="1"/>
      <c r="C2023" s="1"/>
      <c r="H2023" s="1"/>
      <c r="I2023" s="1"/>
      <c r="J2023" s="1"/>
    </row>
    <row r="2024" spans="1:10" x14ac:dyDescent="0.2">
      <c r="A2024" s="1"/>
      <c r="B2024" s="1"/>
      <c r="C2024" s="1"/>
      <c r="H2024" s="1"/>
      <c r="I2024" s="1"/>
      <c r="J2024" s="1"/>
    </row>
    <row r="2025" spans="1:10" x14ac:dyDescent="0.2">
      <c r="A2025" s="1"/>
      <c r="B2025" s="1"/>
      <c r="C2025" s="1"/>
      <c r="H2025" s="1"/>
      <c r="I2025" s="1"/>
      <c r="J2025" s="1"/>
    </row>
    <row r="2026" spans="1:10" x14ac:dyDescent="0.2">
      <c r="A2026" s="1"/>
      <c r="B2026" s="1"/>
      <c r="C2026" s="1"/>
      <c r="H2026" s="1"/>
      <c r="I2026" s="1"/>
      <c r="J2026" s="1"/>
    </row>
    <row r="2027" spans="1:10" x14ac:dyDescent="0.2">
      <c r="A2027" s="1"/>
      <c r="B2027" s="1"/>
      <c r="C2027" s="1"/>
      <c r="H2027" s="1"/>
      <c r="I2027" s="1"/>
      <c r="J2027" s="1"/>
    </row>
    <row r="2028" spans="1:10" x14ac:dyDescent="0.2">
      <c r="A2028" s="1"/>
      <c r="B2028" s="1"/>
      <c r="C2028" s="1"/>
      <c r="H2028" s="1"/>
      <c r="I2028" s="1"/>
      <c r="J2028" s="1"/>
    </row>
    <row r="2029" spans="1:10" x14ac:dyDescent="0.2">
      <c r="A2029" s="1"/>
      <c r="B2029" s="1"/>
      <c r="C2029" s="1"/>
      <c r="H2029" s="1"/>
      <c r="I2029" s="1"/>
      <c r="J2029" s="1"/>
    </row>
    <row r="2030" spans="1:10" x14ac:dyDescent="0.2">
      <c r="A2030" s="1"/>
      <c r="B2030" s="1"/>
      <c r="C2030" s="1"/>
      <c r="H2030" s="1"/>
      <c r="I2030" s="1"/>
      <c r="J2030" s="1"/>
    </row>
    <row r="2031" spans="1:10" x14ac:dyDescent="0.2">
      <c r="A2031" s="1"/>
      <c r="B2031" s="1"/>
      <c r="C2031" s="1"/>
      <c r="H2031" s="1"/>
      <c r="I2031" s="1"/>
      <c r="J2031" s="1"/>
    </row>
    <row r="2032" spans="1:10" x14ac:dyDescent="0.2">
      <c r="A2032" s="1"/>
      <c r="B2032" s="1"/>
      <c r="C2032" s="1"/>
      <c r="H2032" s="1"/>
      <c r="I2032" s="1"/>
      <c r="J2032" s="1"/>
    </row>
    <row r="2033" spans="1:10" x14ac:dyDescent="0.2">
      <c r="A2033" s="1"/>
      <c r="B2033" s="1"/>
      <c r="C2033" s="1"/>
      <c r="H2033" s="1"/>
      <c r="I2033" s="1"/>
      <c r="J2033" s="1"/>
    </row>
    <row r="2034" spans="1:10" x14ac:dyDescent="0.2">
      <c r="A2034" s="1"/>
      <c r="B2034" s="1"/>
      <c r="C2034" s="1"/>
      <c r="H2034" s="1"/>
      <c r="I2034" s="1"/>
      <c r="J2034" s="1"/>
    </row>
    <row r="2035" spans="1:10" x14ac:dyDescent="0.2">
      <c r="A2035" s="1"/>
      <c r="B2035" s="1"/>
      <c r="C2035" s="1"/>
      <c r="H2035" s="1"/>
      <c r="I2035" s="1"/>
      <c r="J2035" s="1"/>
    </row>
    <row r="2036" spans="1:10" x14ac:dyDescent="0.2">
      <c r="A2036" s="1"/>
      <c r="B2036" s="1"/>
      <c r="C2036" s="1"/>
      <c r="H2036" s="1"/>
      <c r="I2036" s="1"/>
      <c r="J2036" s="1"/>
    </row>
    <row r="2037" spans="1:10" x14ac:dyDescent="0.2">
      <c r="A2037" s="1"/>
      <c r="B2037" s="1"/>
      <c r="C2037" s="1"/>
      <c r="H2037" s="1"/>
      <c r="I2037" s="1"/>
      <c r="J2037" s="1"/>
    </row>
    <row r="2038" spans="1:10" x14ac:dyDescent="0.2">
      <c r="A2038" s="1"/>
      <c r="B2038" s="1"/>
      <c r="C2038" s="1"/>
      <c r="H2038" s="1"/>
      <c r="I2038" s="1"/>
      <c r="J2038" s="1"/>
    </row>
    <row r="2039" spans="1:10" x14ac:dyDescent="0.2">
      <c r="A2039" s="1"/>
      <c r="B2039" s="1"/>
      <c r="C2039" s="1"/>
      <c r="H2039" s="1"/>
      <c r="I2039" s="1"/>
      <c r="J2039" s="1"/>
    </row>
    <row r="2040" spans="1:10" x14ac:dyDescent="0.2">
      <c r="A2040" s="1"/>
      <c r="B2040" s="1"/>
      <c r="C2040" s="1"/>
      <c r="H2040" s="1"/>
      <c r="I2040" s="1"/>
      <c r="J2040" s="1"/>
    </row>
    <row r="2041" spans="1:10" x14ac:dyDescent="0.2">
      <c r="A2041" s="1"/>
      <c r="B2041" s="1"/>
      <c r="C2041" s="1"/>
      <c r="H2041" s="1"/>
      <c r="I2041" s="1"/>
      <c r="J2041" s="1"/>
    </row>
    <row r="2042" spans="1:10" x14ac:dyDescent="0.2">
      <c r="A2042" s="1"/>
      <c r="B2042" s="1"/>
      <c r="C2042" s="1"/>
      <c r="H2042" s="1"/>
      <c r="I2042" s="1"/>
      <c r="J2042" s="1"/>
    </row>
  </sheetData>
  <phoneticPr fontId="1" type="noConversion"/>
  <dataValidations count="16">
    <dataValidation type="list" allowBlank="1" showInputMessage="1" showErrorMessage="1" sqref="D556:D2042 D7:D30">
      <formula1>$AP$5:$AP$23</formula1>
    </dataValidation>
    <dataValidation type="list" allowBlank="1" showInputMessage="1" showErrorMessage="1" sqref="J137:J142 C399:C2042 C167:C281 C141 J262:J275 J254:J259 J244:J251 J236:J241 J226:J231 J220:J221 J198:J215 J131:J134 C132 C122:C126 J7:J59 C61:C106 C109:C110 J109:J110 C113 J113 J117:J118 C117:C118 J61:J87 J122:J126 C134:C137 J152:J153 C153 C158:C159 C164 C7:C59 J164 J167:J176 J182:J183 J186:J187 J194:J195 C292:C293 C306:C307 J306:J307 J397:J2042">
      <formula1>$AN$5:$AN$8</formula1>
    </dataValidation>
    <dataValidation type="list" allowBlank="1" showInputMessage="1" showErrorMessage="1" sqref="A7:A59 H7:H59 A61:A327 A330:A331 A334:A345 A348:A349 A352:A353 A356:A357 H386:H387 A399:A2042 H397:H2042 H61:H383 H390:H393 A360:A395">
      <formula1>$AL$5:$AL$35</formula1>
    </dataValidation>
    <dataValidation type="list" allowBlank="1" showInputMessage="1" showErrorMessage="1" sqref="I7:I59 I135:I142 I236:I261 I230:I231 I226:I227 I220:I221 I198:I215 I61:I97 I152:I159 B7:B59 I147 I164:I176 I182:I183 I186:I187 I194:I195 B399:B2042 I397:I2042 I266:I387 I390:I395 B61:B395">
      <formula1>$AM$5:$AM$16</formula1>
    </dataValidation>
    <dataValidation type="list" allowBlank="1" showInputMessage="1" showErrorMessage="1" sqref="D31:D153 D158:D167 D169:D284 D286:D308 D310:D340 D342 D344:D358 D360:D366 D399:D555 D368:D395">
      <formula1>$AP$5:$AP$26</formula1>
    </dataValidation>
    <dataValidation type="list" allowBlank="1" showInputMessage="1" showErrorMessage="1" sqref="D168 D285 D309 D341 D343 D359 D367">
      <formula1>$AP$5:$AP$27</formula1>
    </dataValidation>
    <dataValidation type="list" allowBlank="1" showInputMessage="1" showErrorMessage="1" sqref="C107:C108 C143:C151 C133 C111:C112 C114:C116 C119:C121 C127:C131 C154:C157 C160:C163">
      <formula1>$AN$5:$AN$9</formula1>
    </dataValidation>
    <dataValidation type="list" allowBlank="1" showInputMessage="1" showErrorMessage="1" sqref="I98:I134 I262:I265 I232:I235 I228:I229 I222:I225 I216:I219 I148:I151 I143:I146 I160:I163 I177:I181 I184:I185 I188:I193 I196:I197">
      <formula1>$AL$5:$AL$16</formula1>
    </dataValidation>
    <dataValidation type="list" allowBlank="1" showInputMessage="1" showErrorMessage="1" sqref="J135:J136 J147 J154:J159">
      <formula1>$AN$5:$AN$12</formula1>
    </dataValidation>
    <dataValidation type="list" allowBlank="1" showInputMessage="1" showErrorMessage="1" sqref="J88:J108 J232:J235 J222:J225 J216:J219 J148:J151 J143:J146 J127:J130 J119:J121 J114:J116 J111:J112 J160:J163 J177:J181 J184:J185 J188:J193 J196:J197">
      <formula1>$AN$5:$AN11</formula1>
    </dataValidation>
    <dataValidation type="list" allowBlank="1" showInputMessage="1" showErrorMessage="1" sqref="C138:C140 C152 C142">
      <formula1>$AN$5:$AN$10</formula1>
    </dataValidation>
    <dataValidation type="list" allowBlank="1" showInputMessage="1" showErrorMessage="1" sqref="D154:D157">
      <formula1>$AP$5:$AP$28</formula1>
    </dataValidation>
    <dataValidation type="list" allowBlank="1" showInputMessage="1" showErrorMessage="1" sqref="C165:C166 J165:J166">
      <formula1>$AN$5:$AN$13</formula1>
    </dataValidation>
    <dataValidation type="list" allowBlank="1" showInputMessage="1" showErrorMessage="1" sqref="J242:J243 J260:J261 J252:J253 C360:C395">
      <formula1>$AN$5:$AN$17</formula1>
    </dataValidation>
    <dataValidation type="list" allowBlank="1" showInputMessage="1" showErrorMessage="1" sqref="C282:C291 C294:C305 J276:J305 C308:C351 J308:J349">
      <formula1>$AN$7:$AN$15</formula1>
    </dataValidation>
    <dataValidation type="list" allowBlank="1" showInputMessage="1" showErrorMessage="1" sqref="C352:C359 J350:J395">
      <formula1>$AN$7:$AN$17</formula1>
    </dataValidation>
  </dataValidations>
  <printOptions gridLines="1"/>
  <pageMargins left="0.74803149606299213" right="0.74803149606299213" top="0.98425196850393704" bottom="0.98425196850393704" header="0.51181102362204722" footer="0.51181102362204722"/>
  <pageSetup paperSize="9" scale="2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4"/>
  <sheetViews>
    <sheetView workbookViewId="0">
      <selection activeCell="A10" sqref="A10"/>
    </sheetView>
  </sheetViews>
  <sheetFormatPr defaultRowHeight="12.75" x14ac:dyDescent="0.2"/>
  <cols>
    <col min="1" max="1" width="18.140625" bestFit="1" customWidth="1"/>
    <col min="2" max="2" width="17.7109375" bestFit="1" customWidth="1"/>
    <col min="3" max="3" width="8" customWidth="1"/>
    <col min="4" max="4" width="15" hidden="1" customWidth="1"/>
    <col min="5" max="5" width="15.42578125" hidden="1" customWidth="1"/>
    <col min="6" max="14" width="17.7109375" customWidth="1"/>
    <col min="16" max="16" width="12.7109375" bestFit="1" customWidth="1"/>
  </cols>
  <sheetData>
    <row r="1" spans="1:46" x14ac:dyDescent="0.2">
      <c r="AT1" s="45" t="s">
        <v>58</v>
      </c>
    </row>
    <row r="2" spans="1:46" ht="18" x14ac:dyDescent="0.25">
      <c r="A2" s="41" t="s">
        <v>54</v>
      </c>
      <c r="B2" s="53">
        <v>40483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AT2" s="45" t="s">
        <v>59</v>
      </c>
    </row>
    <row r="3" spans="1:46" x14ac:dyDescent="0.2">
      <c r="A3" s="41" t="s">
        <v>55</v>
      </c>
      <c r="B3" s="43">
        <f>DATE(YEAR(B2),MONTH(B2)+1,DAY(B2))</f>
        <v>40513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46" x14ac:dyDescent="0.2">
      <c r="A4" s="41"/>
      <c r="B4" s="43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46" x14ac:dyDescent="0.2">
      <c r="A5" s="41" t="s">
        <v>57</v>
      </c>
      <c r="B5" s="53" t="s">
        <v>58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46" x14ac:dyDescent="0.2">
      <c r="A6" s="41"/>
      <c r="B6" s="41"/>
      <c r="C6" s="41"/>
      <c r="D6" s="41"/>
      <c r="E6" s="5"/>
      <c r="F6" s="5"/>
      <c r="G6" s="5"/>
      <c r="H6" s="5"/>
      <c r="I6" s="5"/>
      <c r="J6" s="5"/>
      <c r="K6" s="5"/>
      <c r="L6" s="5"/>
      <c r="M6" s="5"/>
      <c r="N6" s="5"/>
    </row>
    <row r="7" spans="1:46" x14ac:dyDescent="0.2">
      <c r="A7" s="41"/>
      <c r="B7" s="41"/>
      <c r="C7" s="41"/>
      <c r="D7" s="41"/>
      <c r="E7" s="5"/>
      <c r="F7" s="5"/>
      <c r="G7" s="5"/>
      <c r="H7" s="5"/>
      <c r="I7" s="5"/>
      <c r="J7" s="5"/>
      <c r="K7" s="5"/>
      <c r="L7" s="5"/>
      <c r="M7" s="5"/>
      <c r="N7" s="5"/>
    </row>
    <row r="8" spans="1:46" x14ac:dyDescent="0.2">
      <c r="A8" s="41"/>
      <c r="B8" s="41"/>
      <c r="C8" s="41"/>
      <c r="D8" s="41"/>
      <c r="E8" s="5"/>
      <c r="F8" s="5"/>
      <c r="G8" s="5"/>
      <c r="H8" s="5"/>
      <c r="I8" s="5"/>
      <c r="J8" s="5"/>
      <c r="K8" s="5"/>
      <c r="L8" s="5"/>
      <c r="M8" s="5"/>
    </row>
    <row r="9" spans="1:46" ht="25.5" x14ac:dyDescent="0.2">
      <c r="A9" s="41"/>
      <c r="B9" s="41"/>
      <c r="C9" s="41"/>
      <c r="D9" s="41"/>
      <c r="E9" s="5"/>
      <c r="F9" s="6" t="s">
        <v>5</v>
      </c>
      <c r="G9" s="6" t="s">
        <v>3</v>
      </c>
      <c r="H9" s="6" t="s">
        <v>41</v>
      </c>
      <c r="I9" s="6" t="s">
        <v>4</v>
      </c>
      <c r="J9" s="6" t="s">
        <v>46</v>
      </c>
      <c r="K9" s="6" t="s">
        <v>45</v>
      </c>
      <c r="L9" s="6" t="s">
        <v>40</v>
      </c>
      <c r="M9" s="6" t="s">
        <v>47</v>
      </c>
      <c r="N9" s="52" t="s">
        <v>62</v>
      </c>
      <c r="P9" s="49" t="s">
        <v>61</v>
      </c>
    </row>
    <row r="10" spans="1:46" x14ac:dyDescent="0.2">
      <c r="A10" s="4" t="s">
        <v>60</v>
      </c>
      <c r="B10" s="4"/>
      <c r="C10" s="4"/>
      <c r="D10" s="4"/>
      <c r="E10" s="4"/>
      <c r="F10" s="41">
        <f>SUM(F18:F144)</f>
        <v>55</v>
      </c>
      <c r="G10" s="41">
        <f t="shared" ref="G10:M10" si="0">SUM(G18:G144)</f>
        <v>0</v>
      </c>
      <c r="H10" s="41">
        <f t="shared" si="0"/>
        <v>70</v>
      </c>
      <c r="I10" s="41">
        <f t="shared" si="0"/>
        <v>0</v>
      </c>
      <c r="J10" s="41">
        <f t="shared" si="0"/>
        <v>305</v>
      </c>
      <c r="K10" s="41">
        <f t="shared" si="0"/>
        <v>0</v>
      </c>
      <c r="L10" s="41">
        <f t="shared" si="0"/>
        <v>0</v>
      </c>
      <c r="M10" s="41">
        <f t="shared" si="0"/>
        <v>20</v>
      </c>
      <c r="N10" s="4">
        <f>SUM(F10:M10)</f>
        <v>450</v>
      </c>
      <c r="P10" s="50">
        <f>SUM(P18:P144)/N10</f>
        <v>3347.036111111111</v>
      </c>
    </row>
    <row r="11" spans="1:46" x14ac:dyDescent="0.2">
      <c r="A11" s="41"/>
      <c r="B11" s="41"/>
      <c r="C11" s="41"/>
      <c r="D11" s="41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46" x14ac:dyDescent="0.2">
      <c r="A12" s="41"/>
      <c r="B12" s="41"/>
      <c r="C12" s="41"/>
      <c r="D12" s="41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46" x14ac:dyDescent="0.2">
      <c r="A13" s="41"/>
      <c r="B13" s="41"/>
      <c r="C13" s="41"/>
      <c r="D13" s="41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46" x14ac:dyDescent="0.2">
      <c r="A14" s="41"/>
      <c r="B14" s="41"/>
      <c r="C14" s="41"/>
      <c r="D14" s="41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46" x14ac:dyDescent="0.2">
      <c r="A15" s="41"/>
      <c r="B15" s="41"/>
      <c r="C15" s="41"/>
      <c r="D15" s="41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46" x14ac:dyDescent="0.2">
      <c r="A16" s="41"/>
      <c r="B16" s="41"/>
      <c r="C16" s="41"/>
      <c r="D16" s="41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6" x14ac:dyDescent="0.2">
      <c r="A17" s="6" t="s">
        <v>52</v>
      </c>
      <c r="B17" s="6" t="s">
        <v>53</v>
      </c>
      <c r="C17" s="6"/>
      <c r="D17" s="6" t="s">
        <v>56</v>
      </c>
      <c r="E17" s="6" t="str">
        <f>B5</f>
        <v>Import</v>
      </c>
      <c r="F17" s="6" t="s">
        <v>5</v>
      </c>
      <c r="G17" s="6" t="s">
        <v>3</v>
      </c>
      <c r="H17" s="6" t="s">
        <v>41</v>
      </c>
      <c r="I17" s="6" t="s">
        <v>4</v>
      </c>
      <c r="J17" s="6" t="s">
        <v>46</v>
      </c>
      <c r="K17" s="6" t="s">
        <v>45</v>
      </c>
      <c r="L17" s="6" t="s">
        <v>40</v>
      </c>
      <c r="M17" s="6" t="s">
        <v>47</v>
      </c>
      <c r="N17" s="51"/>
    </row>
    <row r="18" spans="1:16" x14ac:dyDescent="0.2">
      <c r="A18" s="43">
        <v>38808</v>
      </c>
      <c r="B18" s="43">
        <f>DATE(YEAR(A18),MONTH(A18)+'Auction Results'!F7,DAY(A18))</f>
        <v>38838</v>
      </c>
      <c r="C18" s="43"/>
      <c r="D18" s="5" t="b">
        <f t="shared" ref="D18:D49" si="1">AND(A18&lt;=$B$2,B18&gt;=$B$3)</f>
        <v>0</v>
      </c>
      <c r="E18" s="5" t="b">
        <f>$B$5='Auction Results'!E7</f>
        <v>1</v>
      </c>
      <c r="F18" s="5">
        <f>$D18*$E18*'Auction Results'!L7</f>
        <v>0</v>
      </c>
      <c r="G18" s="5">
        <f>$D18*$E18*'Auction Results'!M7</f>
        <v>0</v>
      </c>
      <c r="H18" s="5">
        <f>$D18*$E18*'Auction Results'!N7</f>
        <v>0</v>
      </c>
      <c r="I18" s="5">
        <f>$D18*$E18*'Auction Results'!O7</f>
        <v>0</v>
      </c>
      <c r="J18" s="5">
        <f>$D18*$E18*'Auction Results'!P7</f>
        <v>0</v>
      </c>
      <c r="K18" s="5">
        <f>$D18*$E18*'Auction Results'!Q7</f>
        <v>0</v>
      </c>
      <c r="L18" s="5">
        <f>$D18*$E18*'Auction Results'!R7</f>
        <v>0</v>
      </c>
      <c r="M18" s="5">
        <f>$D18*$E18*'Auction Results'!S7</f>
        <v>0</v>
      </c>
      <c r="N18" s="5"/>
      <c r="P18" s="48">
        <f>'Auction Results'!K7*SUM(F18:M18)</f>
        <v>0</v>
      </c>
    </row>
    <row r="19" spans="1:16" x14ac:dyDescent="0.2">
      <c r="A19" s="43">
        <v>38808</v>
      </c>
      <c r="B19" s="43">
        <f>DATE(YEAR(A19),MONTH(A19)+'Auction Results'!F8,DAY(A19))</f>
        <v>38838</v>
      </c>
      <c r="C19" s="43"/>
      <c r="D19" s="5" t="b">
        <f t="shared" si="1"/>
        <v>0</v>
      </c>
      <c r="E19" s="5" t="b">
        <f>$B$5='Auction Results'!E8</f>
        <v>1</v>
      </c>
      <c r="F19" s="5">
        <f>$D19*$E19*'Auction Results'!L8</f>
        <v>0</v>
      </c>
      <c r="G19" s="5">
        <f>$D19*$E19*'Auction Results'!M8</f>
        <v>0</v>
      </c>
      <c r="H19" s="5">
        <f>$D19*$E19*'Auction Results'!N8</f>
        <v>0</v>
      </c>
      <c r="I19" s="5">
        <f>$D19*$E19*'Auction Results'!O8</f>
        <v>0</v>
      </c>
      <c r="J19" s="5">
        <f>$D19*$E19*'Auction Results'!P8</f>
        <v>0</v>
      </c>
      <c r="K19" s="5">
        <f>$D19*$E19*'Auction Results'!Q8</f>
        <v>0</v>
      </c>
      <c r="L19" s="5">
        <f>$D19*$E19*'Auction Results'!R8</f>
        <v>0</v>
      </c>
      <c r="M19" s="5">
        <f>$D19*$E19*'Auction Results'!S8</f>
        <v>0</v>
      </c>
      <c r="N19" s="5"/>
      <c r="P19" s="48">
        <f>'Auction Results'!K8*SUM(F19:M19)</f>
        <v>0</v>
      </c>
    </row>
    <row r="20" spans="1:16" x14ac:dyDescent="0.2">
      <c r="A20" s="43">
        <v>38838</v>
      </c>
      <c r="B20" s="43">
        <f>DATE(YEAR(A20),MONTH(A20)+'Auction Results'!F9,DAY(A20))</f>
        <v>38869</v>
      </c>
      <c r="C20" s="43"/>
      <c r="D20" s="5" t="b">
        <f t="shared" si="1"/>
        <v>0</v>
      </c>
      <c r="E20" s="5" t="b">
        <f>$B$5='Auction Results'!E9</f>
        <v>1</v>
      </c>
      <c r="F20" s="5">
        <f>$D20*$E20*'Auction Results'!L9</f>
        <v>0</v>
      </c>
      <c r="G20" s="5">
        <f>$D20*$E20*'Auction Results'!M9</f>
        <v>0</v>
      </c>
      <c r="H20" s="5">
        <f>$D20*$E20*'Auction Results'!N9</f>
        <v>0</v>
      </c>
      <c r="I20" s="5">
        <f>$D20*$E20*'Auction Results'!O9</f>
        <v>0</v>
      </c>
      <c r="J20" s="5">
        <f>$D20*$E20*'Auction Results'!P9</f>
        <v>0</v>
      </c>
      <c r="K20" s="5">
        <f>$D20*$E20*'Auction Results'!Q9</f>
        <v>0</v>
      </c>
      <c r="L20" s="5">
        <f>$D20*$E20*'Auction Results'!R9</f>
        <v>0</v>
      </c>
      <c r="M20" s="5">
        <f>$D20*$E20*'Auction Results'!S9</f>
        <v>0</v>
      </c>
      <c r="N20" s="5"/>
      <c r="P20" s="48">
        <f>'Auction Results'!K9*SUM(F20:M20)</f>
        <v>0</v>
      </c>
    </row>
    <row r="21" spans="1:16" x14ac:dyDescent="0.2">
      <c r="A21" s="43">
        <v>38838</v>
      </c>
      <c r="B21" s="43">
        <f>DATE(YEAR(A21),MONTH(A21)+'Auction Results'!F10,DAY(A21))</f>
        <v>38869</v>
      </c>
      <c r="C21" s="43"/>
      <c r="D21" s="5" t="b">
        <f t="shared" si="1"/>
        <v>0</v>
      </c>
      <c r="E21" s="5" t="b">
        <f>$B$5='Auction Results'!E10</f>
        <v>1</v>
      </c>
      <c r="F21" s="5">
        <f>$D21*$E21*'Auction Results'!L10</f>
        <v>0</v>
      </c>
      <c r="G21" s="5">
        <f>$D21*$E21*'Auction Results'!M10</f>
        <v>0</v>
      </c>
      <c r="H21" s="5">
        <f>$D21*$E21*'Auction Results'!N10</f>
        <v>0</v>
      </c>
      <c r="I21" s="5">
        <f>$D21*$E21*'Auction Results'!O10</f>
        <v>0</v>
      </c>
      <c r="J21" s="5">
        <f>$D21*$E21*'Auction Results'!P10</f>
        <v>0</v>
      </c>
      <c r="K21" s="5">
        <f>$D21*$E21*'Auction Results'!Q10</f>
        <v>0</v>
      </c>
      <c r="L21" s="5">
        <f>$D21*$E21*'Auction Results'!R10</f>
        <v>0</v>
      </c>
      <c r="M21" s="5">
        <f>$D21*$E21*'Auction Results'!S10</f>
        <v>0</v>
      </c>
      <c r="N21" s="5"/>
      <c r="P21" s="48">
        <f>'Auction Results'!K10*SUM(F21:M21)</f>
        <v>0</v>
      </c>
    </row>
    <row r="22" spans="1:16" x14ac:dyDescent="0.2">
      <c r="A22" s="43">
        <v>38869</v>
      </c>
      <c r="B22" s="43">
        <f>DATE(YEAR(A22),MONTH(A22)+'Auction Results'!F11,DAY(A22))</f>
        <v>38899</v>
      </c>
      <c r="C22" s="43"/>
      <c r="D22" s="5" t="b">
        <f t="shared" si="1"/>
        <v>0</v>
      </c>
      <c r="E22" s="5" t="b">
        <f>$B$5='Auction Results'!E11</f>
        <v>0</v>
      </c>
      <c r="F22" s="5">
        <f>$D22*$E22*'Auction Results'!L11</f>
        <v>0</v>
      </c>
      <c r="G22" s="5">
        <f>$D22*$E22*'Auction Results'!M11</f>
        <v>0</v>
      </c>
      <c r="H22" s="5">
        <f>$D22*$E22*'Auction Results'!N11</f>
        <v>0</v>
      </c>
      <c r="I22" s="5">
        <f>$D22*$E22*'Auction Results'!O11</f>
        <v>0</v>
      </c>
      <c r="J22" s="5">
        <f>$D22*$E22*'Auction Results'!P11</f>
        <v>0</v>
      </c>
      <c r="K22" s="5">
        <f>$D22*$E22*'Auction Results'!Q11</f>
        <v>0</v>
      </c>
      <c r="L22" s="5">
        <f>$D22*$E22*'Auction Results'!R11</f>
        <v>0</v>
      </c>
      <c r="M22" s="5">
        <f>$D22*$E22*'Auction Results'!S11</f>
        <v>0</v>
      </c>
      <c r="N22" s="5"/>
      <c r="P22" s="48">
        <f>'Auction Results'!K11*SUM(F22:M22)</f>
        <v>0</v>
      </c>
    </row>
    <row r="23" spans="1:16" x14ac:dyDescent="0.2">
      <c r="A23" s="43">
        <v>38869</v>
      </c>
      <c r="B23" s="43">
        <f>DATE(YEAR(A23),MONTH(A23)+'Auction Results'!F12,DAY(A23))</f>
        <v>38899</v>
      </c>
      <c r="C23" s="43"/>
      <c r="D23" s="5" t="b">
        <f t="shared" si="1"/>
        <v>0</v>
      </c>
      <c r="E23" s="5" t="b">
        <f>$B$5='Auction Results'!E12</f>
        <v>1</v>
      </c>
      <c r="F23" s="5">
        <f>$D23*$E23*'Auction Results'!L12</f>
        <v>0</v>
      </c>
      <c r="G23" s="5">
        <f>$D23*$E23*'Auction Results'!M12</f>
        <v>0</v>
      </c>
      <c r="H23" s="5">
        <f>$D23*$E23*'Auction Results'!N12</f>
        <v>0</v>
      </c>
      <c r="I23" s="5">
        <f>$D23*$E23*'Auction Results'!O12</f>
        <v>0</v>
      </c>
      <c r="J23" s="5">
        <f>$D23*$E23*'Auction Results'!P12</f>
        <v>0</v>
      </c>
      <c r="K23" s="5">
        <f>$D23*$E23*'Auction Results'!Q12</f>
        <v>0</v>
      </c>
      <c r="L23" s="5">
        <f>$D23*$E23*'Auction Results'!R12</f>
        <v>0</v>
      </c>
      <c r="M23" s="5">
        <f>$D23*$E23*'Auction Results'!S12</f>
        <v>0</v>
      </c>
      <c r="N23" s="5"/>
      <c r="P23" s="48">
        <f>'Auction Results'!K12*SUM(F23:M23)</f>
        <v>0</v>
      </c>
    </row>
    <row r="24" spans="1:16" x14ac:dyDescent="0.2">
      <c r="A24" s="43">
        <v>38899</v>
      </c>
      <c r="B24" s="43">
        <f>DATE(YEAR(A24),MONTH(A24)+'Auction Results'!F13,DAY(A24))</f>
        <v>38930</v>
      </c>
      <c r="C24" s="43"/>
      <c r="D24" s="5" t="b">
        <f t="shared" si="1"/>
        <v>0</v>
      </c>
      <c r="E24" s="5" t="b">
        <f>$B$5='Auction Results'!E13</f>
        <v>0</v>
      </c>
      <c r="F24" s="5">
        <f>$D24*$E24*'Auction Results'!L13</f>
        <v>0</v>
      </c>
      <c r="G24" s="5">
        <f>$D24*$E24*'Auction Results'!M13</f>
        <v>0</v>
      </c>
      <c r="H24" s="5">
        <f>$D24*$E24*'Auction Results'!N13</f>
        <v>0</v>
      </c>
      <c r="I24" s="5">
        <f>$D24*$E24*'Auction Results'!O13</f>
        <v>0</v>
      </c>
      <c r="J24" s="5">
        <f>$D24*$E24*'Auction Results'!P13</f>
        <v>0</v>
      </c>
      <c r="K24" s="5">
        <f>$D24*$E24*'Auction Results'!Q13</f>
        <v>0</v>
      </c>
      <c r="L24" s="5">
        <f>$D24*$E24*'Auction Results'!R13</f>
        <v>0</v>
      </c>
      <c r="M24" s="5">
        <f>$D24*$E24*'Auction Results'!S13</f>
        <v>0</v>
      </c>
      <c r="N24" s="5"/>
      <c r="P24" s="48">
        <f>'Auction Results'!K13*SUM(F24:M24)</f>
        <v>0</v>
      </c>
    </row>
    <row r="25" spans="1:16" x14ac:dyDescent="0.2">
      <c r="A25" s="43">
        <v>38899</v>
      </c>
      <c r="B25" s="43">
        <f>DATE(YEAR(A25),MONTH(A25)+'Auction Results'!F14,DAY(A25))</f>
        <v>38930</v>
      </c>
      <c r="C25" s="43"/>
      <c r="D25" s="5" t="b">
        <f t="shared" si="1"/>
        <v>0</v>
      </c>
      <c r="E25" s="5" t="b">
        <f>$B$5='Auction Results'!E14</f>
        <v>1</v>
      </c>
      <c r="F25" s="5">
        <f>$D25*$E25*'Auction Results'!L14</f>
        <v>0</v>
      </c>
      <c r="G25" s="5">
        <f>$D25*$E25*'Auction Results'!M14</f>
        <v>0</v>
      </c>
      <c r="H25" s="5">
        <f>$D25*$E25*'Auction Results'!N14</f>
        <v>0</v>
      </c>
      <c r="I25" s="5">
        <f>$D25*$E25*'Auction Results'!O14</f>
        <v>0</v>
      </c>
      <c r="J25" s="5">
        <f>$D25*$E25*'Auction Results'!P14</f>
        <v>0</v>
      </c>
      <c r="K25" s="5">
        <f>$D25*$E25*'Auction Results'!Q14</f>
        <v>0</v>
      </c>
      <c r="L25" s="5">
        <f>$D25*$E25*'Auction Results'!R14</f>
        <v>0</v>
      </c>
      <c r="M25" s="5">
        <f>$D25*$E25*'Auction Results'!S14</f>
        <v>0</v>
      </c>
      <c r="N25" s="5"/>
      <c r="P25" s="48">
        <f>'Auction Results'!K14*SUM(F25:M25)</f>
        <v>0</v>
      </c>
    </row>
    <row r="26" spans="1:16" x14ac:dyDescent="0.2">
      <c r="A26" s="43">
        <v>38930</v>
      </c>
      <c r="B26" s="43">
        <f>DATE(YEAR(A26),MONTH(A26)+'Auction Results'!F15,DAY(A26))</f>
        <v>38961</v>
      </c>
      <c r="C26" s="43"/>
      <c r="D26" s="5" t="b">
        <f t="shared" si="1"/>
        <v>0</v>
      </c>
      <c r="E26" s="5" t="b">
        <f>$B$5='Auction Results'!E15</f>
        <v>0</v>
      </c>
      <c r="F26" s="5">
        <f>$D26*$E26*'Auction Results'!L15</f>
        <v>0</v>
      </c>
      <c r="G26" s="5">
        <f>$D26*$E26*'Auction Results'!M15</f>
        <v>0</v>
      </c>
      <c r="H26" s="5">
        <f>$D26*$E26*'Auction Results'!N15</f>
        <v>0</v>
      </c>
      <c r="I26" s="5">
        <f>$D26*$E26*'Auction Results'!O15</f>
        <v>0</v>
      </c>
      <c r="J26" s="5">
        <f>$D26*$E26*'Auction Results'!P15</f>
        <v>0</v>
      </c>
      <c r="K26" s="5">
        <f>$D26*$E26*'Auction Results'!Q15</f>
        <v>0</v>
      </c>
      <c r="L26" s="5">
        <f>$D26*$E26*'Auction Results'!R15</f>
        <v>0</v>
      </c>
      <c r="M26" s="5">
        <f>$D26*$E26*'Auction Results'!S15</f>
        <v>0</v>
      </c>
      <c r="N26" s="5"/>
      <c r="P26" s="48">
        <f>'Auction Results'!K15*SUM(F26:M26)</f>
        <v>0</v>
      </c>
    </row>
    <row r="27" spans="1:16" x14ac:dyDescent="0.2">
      <c r="A27" s="43">
        <v>38930</v>
      </c>
      <c r="B27" s="43">
        <f>DATE(YEAR(A27),MONTH(A27)+'Auction Results'!F16,DAY(A27))</f>
        <v>38961</v>
      </c>
      <c r="C27" s="43"/>
      <c r="D27" s="5" t="b">
        <f t="shared" si="1"/>
        <v>0</v>
      </c>
      <c r="E27" s="5" t="b">
        <f>$B$5='Auction Results'!E16</f>
        <v>1</v>
      </c>
      <c r="F27" s="5">
        <f>$D27*$E27*'Auction Results'!L16</f>
        <v>0</v>
      </c>
      <c r="G27" s="5">
        <f>$D27*$E27*'Auction Results'!M16</f>
        <v>0</v>
      </c>
      <c r="H27" s="5">
        <f>$D27*$E27*'Auction Results'!N16</f>
        <v>0</v>
      </c>
      <c r="I27" s="5">
        <f>$D27*$E27*'Auction Results'!O16</f>
        <v>0</v>
      </c>
      <c r="J27" s="5">
        <f>$D27*$E27*'Auction Results'!P16</f>
        <v>0</v>
      </c>
      <c r="K27" s="5">
        <f>$D27*$E27*'Auction Results'!Q16</f>
        <v>0</v>
      </c>
      <c r="L27" s="5">
        <f>$D27*$E27*'Auction Results'!R16</f>
        <v>0</v>
      </c>
      <c r="M27" s="5">
        <f>$D27*$E27*'Auction Results'!S16</f>
        <v>0</v>
      </c>
      <c r="N27" s="5"/>
      <c r="P27" s="48">
        <f>'Auction Results'!K16*SUM(F27:M27)</f>
        <v>0</v>
      </c>
    </row>
    <row r="28" spans="1:16" x14ac:dyDescent="0.2">
      <c r="A28" s="43">
        <v>38961</v>
      </c>
      <c r="B28" s="43">
        <f>DATE(YEAR(A28),MONTH(A28)+'Auction Results'!F17,DAY(A28))</f>
        <v>38991</v>
      </c>
      <c r="C28" s="43"/>
      <c r="D28" s="5" t="b">
        <f t="shared" si="1"/>
        <v>0</v>
      </c>
      <c r="E28" s="5" t="b">
        <f>$B$5='Auction Results'!E17</f>
        <v>0</v>
      </c>
      <c r="F28" s="5">
        <f>$D28*$E28*'Auction Results'!L17</f>
        <v>0</v>
      </c>
      <c r="G28" s="5">
        <f>$D28*$E28*'Auction Results'!M17</f>
        <v>0</v>
      </c>
      <c r="H28" s="5">
        <f>$D28*$E28*'Auction Results'!N17</f>
        <v>0</v>
      </c>
      <c r="I28" s="5">
        <f>$D28*$E28*'Auction Results'!O17</f>
        <v>0</v>
      </c>
      <c r="J28" s="5">
        <f>$D28*$E28*'Auction Results'!P17</f>
        <v>0</v>
      </c>
      <c r="K28" s="5">
        <f>$D28*$E28*'Auction Results'!Q17</f>
        <v>0</v>
      </c>
      <c r="L28" s="5">
        <f>$D28*$E28*'Auction Results'!R17</f>
        <v>0</v>
      </c>
      <c r="M28" s="5">
        <f>$D28*$E28*'Auction Results'!S17</f>
        <v>0</v>
      </c>
      <c r="N28" s="5"/>
      <c r="P28" s="48">
        <f>'Auction Results'!K17*SUM(F28:M28)</f>
        <v>0</v>
      </c>
    </row>
    <row r="29" spans="1:16" x14ac:dyDescent="0.2">
      <c r="A29" s="43">
        <v>38961</v>
      </c>
      <c r="B29" s="43">
        <f>DATE(YEAR(A29),MONTH(A29)+'Auction Results'!F18,DAY(A29))</f>
        <v>38991</v>
      </c>
      <c r="C29" s="43"/>
      <c r="D29" s="5" t="b">
        <f t="shared" si="1"/>
        <v>0</v>
      </c>
      <c r="E29" s="5" t="b">
        <f>$B$5='Auction Results'!E18</f>
        <v>1</v>
      </c>
      <c r="F29" s="5">
        <f>$D29*$E29*'Auction Results'!L18</f>
        <v>0</v>
      </c>
      <c r="G29" s="5">
        <f>$D29*$E29*'Auction Results'!M18</f>
        <v>0</v>
      </c>
      <c r="H29" s="5">
        <f>$D29*$E29*'Auction Results'!N18</f>
        <v>0</v>
      </c>
      <c r="I29" s="5">
        <f>$D29*$E29*'Auction Results'!O18</f>
        <v>0</v>
      </c>
      <c r="J29" s="5">
        <f>$D29*$E29*'Auction Results'!P18</f>
        <v>0</v>
      </c>
      <c r="K29" s="5">
        <f>$D29*$E29*'Auction Results'!Q18</f>
        <v>0</v>
      </c>
      <c r="L29" s="5">
        <f>$D29*$E29*'Auction Results'!R18</f>
        <v>0</v>
      </c>
      <c r="M29" s="5">
        <f>$D29*$E29*'Auction Results'!S18</f>
        <v>0</v>
      </c>
      <c r="N29" s="5"/>
      <c r="P29" s="48">
        <f>'Auction Results'!K18*SUM(F29:M29)</f>
        <v>0</v>
      </c>
    </row>
    <row r="30" spans="1:16" x14ac:dyDescent="0.2">
      <c r="A30" s="43">
        <v>38961</v>
      </c>
      <c r="B30" s="43">
        <f>DATE(YEAR(A30),MONTH(A30)+'Auction Results'!F19,DAY(A30))</f>
        <v>38991</v>
      </c>
      <c r="C30" s="43"/>
      <c r="D30" s="5" t="b">
        <f t="shared" si="1"/>
        <v>0</v>
      </c>
      <c r="E30" s="5" t="b">
        <f>$B$5='Auction Results'!E19</f>
        <v>1</v>
      </c>
      <c r="F30" s="5">
        <f>$D30*$E30*'Auction Results'!L19</f>
        <v>0</v>
      </c>
      <c r="G30" s="5">
        <f>$D30*$E30*'Auction Results'!M19</f>
        <v>0</v>
      </c>
      <c r="H30" s="5">
        <f>$D30*$E30*'Auction Results'!N19</f>
        <v>0</v>
      </c>
      <c r="I30" s="5">
        <f>$D30*$E30*'Auction Results'!O19</f>
        <v>0</v>
      </c>
      <c r="J30" s="5">
        <f>$D30*$E30*'Auction Results'!P19</f>
        <v>0</v>
      </c>
      <c r="K30" s="5">
        <f>$D30*$E30*'Auction Results'!Q19</f>
        <v>0</v>
      </c>
      <c r="L30" s="5">
        <f>$D30*$E30*'Auction Results'!R19</f>
        <v>0</v>
      </c>
      <c r="M30" s="5">
        <f>$D30*$E30*'Auction Results'!S19</f>
        <v>0</v>
      </c>
      <c r="N30" s="5"/>
      <c r="P30" s="48">
        <f>'Auction Results'!K19*SUM(F30:M30)</f>
        <v>0</v>
      </c>
    </row>
    <row r="31" spans="1:16" x14ac:dyDescent="0.2">
      <c r="A31" s="43">
        <v>38991</v>
      </c>
      <c r="B31" s="43">
        <f>DATE(YEAR(A31),MONTH(A31)+'Auction Results'!F20,DAY(A31))</f>
        <v>39022</v>
      </c>
      <c r="C31" s="43"/>
      <c r="D31" s="5" t="b">
        <f t="shared" si="1"/>
        <v>0</v>
      </c>
      <c r="E31" s="5" t="b">
        <f>$B$5='Auction Results'!E20</f>
        <v>0</v>
      </c>
      <c r="F31" s="5">
        <f>$D31*$E31*'Auction Results'!L20</f>
        <v>0</v>
      </c>
      <c r="G31" s="5">
        <f>$D31*$E31*'Auction Results'!M20</f>
        <v>0</v>
      </c>
      <c r="H31" s="5">
        <f>$D31*$E31*'Auction Results'!N20</f>
        <v>0</v>
      </c>
      <c r="I31" s="5">
        <f>$D31*$E31*'Auction Results'!O20</f>
        <v>0</v>
      </c>
      <c r="J31" s="5">
        <f>$D31*$E31*'Auction Results'!P20</f>
        <v>0</v>
      </c>
      <c r="K31" s="5">
        <f>$D31*$E31*'Auction Results'!Q20</f>
        <v>0</v>
      </c>
      <c r="L31" s="5">
        <f>$D31*$E31*'Auction Results'!R20</f>
        <v>0</v>
      </c>
      <c r="M31" s="5">
        <f>$D31*$E31*'Auction Results'!S20</f>
        <v>0</v>
      </c>
      <c r="N31" s="5"/>
      <c r="P31" s="48">
        <f>'Auction Results'!K20*SUM(F31:M31)</f>
        <v>0</v>
      </c>
    </row>
    <row r="32" spans="1:16" x14ac:dyDescent="0.2">
      <c r="A32" s="43">
        <v>38991</v>
      </c>
      <c r="B32" s="43">
        <f>DATE(YEAR(A32),MONTH(A32)+'Auction Results'!F21,DAY(A32))</f>
        <v>39022</v>
      </c>
      <c r="C32" s="43"/>
      <c r="D32" s="5" t="b">
        <f t="shared" si="1"/>
        <v>0</v>
      </c>
      <c r="E32" s="5" t="b">
        <f>$B$5='Auction Results'!E21</f>
        <v>1</v>
      </c>
      <c r="F32" s="5">
        <f>$D32*$E32*'Auction Results'!L21</f>
        <v>0</v>
      </c>
      <c r="G32" s="5">
        <f>$D32*$E32*'Auction Results'!M21</f>
        <v>0</v>
      </c>
      <c r="H32" s="5">
        <f>$D32*$E32*'Auction Results'!N21</f>
        <v>0</v>
      </c>
      <c r="I32" s="5">
        <f>$D32*$E32*'Auction Results'!O21</f>
        <v>0</v>
      </c>
      <c r="J32" s="5">
        <f>$D32*$E32*'Auction Results'!P21</f>
        <v>0</v>
      </c>
      <c r="K32" s="5">
        <f>$D32*$E32*'Auction Results'!Q21</f>
        <v>0</v>
      </c>
      <c r="L32" s="5">
        <f>$D32*$E32*'Auction Results'!R21</f>
        <v>0</v>
      </c>
      <c r="M32" s="5">
        <f>$D32*$E32*'Auction Results'!S21</f>
        <v>0</v>
      </c>
      <c r="N32" s="5"/>
      <c r="P32" s="48">
        <f>'Auction Results'!K21*SUM(F32:M32)</f>
        <v>0</v>
      </c>
    </row>
    <row r="33" spans="1:16" x14ac:dyDescent="0.2">
      <c r="A33" s="43">
        <v>38991</v>
      </c>
      <c r="B33" s="43">
        <f>DATE(YEAR(A33),MONTH(A33)+'Auction Results'!F22,DAY(A33))</f>
        <v>39022</v>
      </c>
      <c r="C33" s="43"/>
      <c r="D33" s="5" t="b">
        <f t="shared" si="1"/>
        <v>0</v>
      </c>
      <c r="E33" s="5" t="b">
        <f>$B$5='Auction Results'!E22</f>
        <v>1</v>
      </c>
      <c r="F33" s="5">
        <f>$D33*$E33*'Auction Results'!L22</f>
        <v>0</v>
      </c>
      <c r="G33" s="5">
        <f>$D33*$E33*'Auction Results'!M22</f>
        <v>0</v>
      </c>
      <c r="H33" s="5">
        <f>$D33*$E33*'Auction Results'!N22</f>
        <v>0</v>
      </c>
      <c r="I33" s="5">
        <f>$D33*$E33*'Auction Results'!O22</f>
        <v>0</v>
      </c>
      <c r="J33" s="5">
        <f>$D33*$E33*'Auction Results'!P22</f>
        <v>0</v>
      </c>
      <c r="K33" s="5">
        <f>$D33*$E33*'Auction Results'!Q22</f>
        <v>0</v>
      </c>
      <c r="L33" s="5">
        <f>$D33*$E33*'Auction Results'!R22</f>
        <v>0</v>
      </c>
      <c r="M33" s="5">
        <f>$D33*$E33*'Auction Results'!S22</f>
        <v>0</v>
      </c>
      <c r="N33" s="5"/>
      <c r="P33" s="48">
        <f>'Auction Results'!K22*SUM(F33:M33)</f>
        <v>0</v>
      </c>
    </row>
    <row r="34" spans="1:16" x14ac:dyDescent="0.2">
      <c r="A34" s="43">
        <v>39022</v>
      </c>
      <c r="B34" s="43">
        <f>DATE(YEAR(A34),MONTH(A34)+'Auction Results'!F23,DAY(A34))</f>
        <v>39052</v>
      </c>
      <c r="C34" s="43"/>
      <c r="D34" s="5" t="b">
        <f t="shared" si="1"/>
        <v>0</v>
      </c>
      <c r="E34" s="5" t="b">
        <f>$B$5='Auction Results'!E23</f>
        <v>0</v>
      </c>
      <c r="F34" s="5">
        <f>$D34*$E34*'Auction Results'!L23</f>
        <v>0</v>
      </c>
      <c r="G34" s="5">
        <f>$D34*$E34*'Auction Results'!M23</f>
        <v>0</v>
      </c>
      <c r="H34" s="5">
        <f>$D34*$E34*'Auction Results'!N23</f>
        <v>0</v>
      </c>
      <c r="I34" s="5">
        <f>$D34*$E34*'Auction Results'!O23</f>
        <v>0</v>
      </c>
      <c r="J34" s="5">
        <f>$D34*$E34*'Auction Results'!P23</f>
        <v>0</v>
      </c>
      <c r="K34" s="5">
        <f>$D34*$E34*'Auction Results'!Q23</f>
        <v>0</v>
      </c>
      <c r="L34" s="5">
        <f>$D34*$E34*'Auction Results'!R23</f>
        <v>0</v>
      </c>
      <c r="M34" s="5">
        <f>$D34*$E34*'Auction Results'!S23</f>
        <v>0</v>
      </c>
      <c r="N34" s="5"/>
      <c r="P34" s="48">
        <f>'Auction Results'!K23*SUM(F34:M34)</f>
        <v>0</v>
      </c>
    </row>
    <row r="35" spans="1:16" x14ac:dyDescent="0.2">
      <c r="A35" s="43">
        <v>39022</v>
      </c>
      <c r="B35" s="43">
        <f>DATE(YEAR(A35),MONTH(A35)+'Auction Results'!F24,DAY(A35))</f>
        <v>39052</v>
      </c>
      <c r="C35" s="43"/>
      <c r="D35" s="5" t="b">
        <f t="shared" si="1"/>
        <v>0</v>
      </c>
      <c r="E35" s="5" t="b">
        <f>$B$5='Auction Results'!E24</f>
        <v>1</v>
      </c>
      <c r="F35" s="5">
        <f>$D35*$E35*'Auction Results'!L24</f>
        <v>0</v>
      </c>
      <c r="G35" s="5">
        <f>$D35*$E35*'Auction Results'!M24</f>
        <v>0</v>
      </c>
      <c r="H35" s="5">
        <f>$D35*$E35*'Auction Results'!N24</f>
        <v>0</v>
      </c>
      <c r="I35" s="5">
        <f>$D35*$E35*'Auction Results'!O24</f>
        <v>0</v>
      </c>
      <c r="J35" s="5">
        <f>$D35*$E35*'Auction Results'!P24</f>
        <v>0</v>
      </c>
      <c r="K35" s="5">
        <f>$D35*$E35*'Auction Results'!Q24</f>
        <v>0</v>
      </c>
      <c r="L35" s="5">
        <f>$D35*$E35*'Auction Results'!R24</f>
        <v>0</v>
      </c>
      <c r="M35" s="5">
        <f>$D35*$E35*'Auction Results'!S24</f>
        <v>0</v>
      </c>
      <c r="N35" s="5"/>
      <c r="P35" s="48">
        <f>'Auction Results'!K24*SUM(F35:M35)</f>
        <v>0</v>
      </c>
    </row>
    <row r="36" spans="1:16" x14ac:dyDescent="0.2">
      <c r="A36" s="43">
        <v>39022</v>
      </c>
      <c r="B36" s="43">
        <f>DATE(YEAR(A36),MONTH(A36)+'Auction Results'!F25,DAY(A36))</f>
        <v>39052</v>
      </c>
      <c r="C36" s="43"/>
      <c r="D36" s="5" t="b">
        <f t="shared" si="1"/>
        <v>0</v>
      </c>
      <c r="E36" s="5" t="b">
        <f>$B$5='Auction Results'!E25</f>
        <v>1</v>
      </c>
      <c r="F36" s="5">
        <f>$D36*$E36*'Auction Results'!L25</f>
        <v>0</v>
      </c>
      <c r="G36" s="5">
        <f>$D36*$E36*'Auction Results'!M25</f>
        <v>0</v>
      </c>
      <c r="H36" s="5">
        <f>$D36*$E36*'Auction Results'!N25</f>
        <v>0</v>
      </c>
      <c r="I36" s="5">
        <f>$D36*$E36*'Auction Results'!O25</f>
        <v>0</v>
      </c>
      <c r="J36" s="5">
        <f>$D36*$E36*'Auction Results'!P25</f>
        <v>0</v>
      </c>
      <c r="K36" s="5">
        <f>$D36*$E36*'Auction Results'!Q25</f>
        <v>0</v>
      </c>
      <c r="L36" s="5">
        <f>$D36*$E36*'Auction Results'!R25</f>
        <v>0</v>
      </c>
      <c r="M36" s="5">
        <f>$D36*$E36*'Auction Results'!S25</f>
        <v>0</v>
      </c>
      <c r="N36" s="5"/>
      <c r="P36" s="48">
        <f>'Auction Results'!K25*SUM(F36:M36)</f>
        <v>0</v>
      </c>
    </row>
    <row r="37" spans="1:16" x14ac:dyDescent="0.2">
      <c r="A37" s="43">
        <v>39052</v>
      </c>
      <c r="B37" s="43">
        <f>DATE(YEAR(A37),MONTH(A37)+'Auction Results'!F26,DAY(A37))</f>
        <v>39083</v>
      </c>
      <c r="C37" s="43"/>
      <c r="D37" s="5" t="b">
        <f t="shared" si="1"/>
        <v>0</v>
      </c>
      <c r="E37" s="5" t="b">
        <f>$B$5='Auction Results'!E26</f>
        <v>0</v>
      </c>
      <c r="F37" s="5">
        <f>$D37*$E37*'Auction Results'!L26</f>
        <v>0</v>
      </c>
      <c r="G37" s="5">
        <f>$D37*$E37*'Auction Results'!M26</f>
        <v>0</v>
      </c>
      <c r="H37" s="5">
        <f>$D37*$E37*'Auction Results'!N26</f>
        <v>0</v>
      </c>
      <c r="I37" s="5">
        <f>$D37*$E37*'Auction Results'!O26</f>
        <v>0</v>
      </c>
      <c r="J37" s="5">
        <f>$D37*$E37*'Auction Results'!P26</f>
        <v>0</v>
      </c>
      <c r="K37" s="5">
        <f>$D37*$E37*'Auction Results'!Q26</f>
        <v>0</v>
      </c>
      <c r="L37" s="5">
        <f>$D37*$E37*'Auction Results'!R26</f>
        <v>0</v>
      </c>
      <c r="M37" s="5">
        <f>$D37*$E37*'Auction Results'!S26</f>
        <v>0</v>
      </c>
      <c r="N37" s="5"/>
      <c r="P37" s="48">
        <f>'Auction Results'!K26*SUM(F37:M37)</f>
        <v>0</v>
      </c>
    </row>
    <row r="38" spans="1:16" x14ac:dyDescent="0.2">
      <c r="A38" s="43">
        <v>39052</v>
      </c>
      <c r="B38" s="43">
        <f>DATE(YEAR(A38),MONTH(A38)+'Auction Results'!F27,DAY(A38))</f>
        <v>39083</v>
      </c>
      <c r="C38" s="43"/>
      <c r="D38" s="5" t="b">
        <f t="shared" si="1"/>
        <v>0</v>
      </c>
      <c r="E38" s="5" t="b">
        <f>$B$5='Auction Results'!E27</f>
        <v>1</v>
      </c>
      <c r="F38" s="5">
        <f>$D38*$E38*'Auction Results'!L27</f>
        <v>0</v>
      </c>
      <c r="G38" s="5">
        <f>$D38*$E38*'Auction Results'!M27</f>
        <v>0</v>
      </c>
      <c r="H38" s="5">
        <f>$D38*$E38*'Auction Results'!N27</f>
        <v>0</v>
      </c>
      <c r="I38" s="5">
        <f>$D38*$E38*'Auction Results'!O27</f>
        <v>0</v>
      </c>
      <c r="J38" s="5">
        <f>$D38*$E38*'Auction Results'!P27</f>
        <v>0</v>
      </c>
      <c r="K38" s="5">
        <f>$D38*$E38*'Auction Results'!Q27</f>
        <v>0</v>
      </c>
      <c r="L38" s="5">
        <f>$D38*$E38*'Auction Results'!R27</f>
        <v>0</v>
      </c>
      <c r="M38" s="5">
        <f>$D38*$E38*'Auction Results'!S27</f>
        <v>0</v>
      </c>
      <c r="N38" s="5"/>
      <c r="P38" s="48">
        <f>'Auction Results'!K27*SUM(F38:M38)</f>
        <v>0</v>
      </c>
    </row>
    <row r="39" spans="1:16" x14ac:dyDescent="0.2">
      <c r="A39" s="43">
        <v>39052</v>
      </c>
      <c r="B39" s="43">
        <f>DATE(YEAR(A39),MONTH(A39)+'Auction Results'!F28,DAY(A39))</f>
        <v>39083</v>
      </c>
      <c r="C39" s="43"/>
      <c r="D39" s="5" t="b">
        <f t="shared" si="1"/>
        <v>0</v>
      </c>
      <c r="E39" s="5" t="b">
        <f>$B$5='Auction Results'!E28</f>
        <v>1</v>
      </c>
      <c r="F39" s="5">
        <f>$D39*$E39*'Auction Results'!L28</f>
        <v>0</v>
      </c>
      <c r="G39" s="5">
        <f>$D39*$E39*'Auction Results'!M28</f>
        <v>0</v>
      </c>
      <c r="H39" s="5">
        <f>$D39*$E39*'Auction Results'!N28</f>
        <v>0</v>
      </c>
      <c r="I39" s="5">
        <f>$D39*$E39*'Auction Results'!O28</f>
        <v>0</v>
      </c>
      <c r="J39" s="5">
        <f>$D39*$E39*'Auction Results'!P28</f>
        <v>0</v>
      </c>
      <c r="K39" s="5">
        <f>$D39*$E39*'Auction Results'!Q28</f>
        <v>0</v>
      </c>
      <c r="L39" s="5">
        <f>$D39*$E39*'Auction Results'!R28</f>
        <v>0</v>
      </c>
      <c r="M39" s="5">
        <f>$D39*$E39*'Auction Results'!S28</f>
        <v>0</v>
      </c>
      <c r="N39" s="5"/>
      <c r="P39" s="48">
        <f>'Auction Results'!K28*SUM(F39:M39)</f>
        <v>0</v>
      </c>
    </row>
    <row r="40" spans="1:16" x14ac:dyDescent="0.2">
      <c r="A40" s="43">
        <v>39083</v>
      </c>
      <c r="B40" s="43">
        <f>DATE(YEAR(A40),MONTH(A40)+'Auction Results'!F29,DAY(A40))</f>
        <v>39114</v>
      </c>
      <c r="C40" s="43"/>
      <c r="D40" s="5" t="b">
        <f t="shared" si="1"/>
        <v>0</v>
      </c>
      <c r="E40" s="5" t="b">
        <f>$B$5='Auction Results'!E29</f>
        <v>0</v>
      </c>
      <c r="F40" s="5">
        <f>$D40*$E40*'Auction Results'!L29</f>
        <v>0</v>
      </c>
      <c r="G40" s="5">
        <f>$D40*$E40*'Auction Results'!M29</f>
        <v>0</v>
      </c>
      <c r="H40" s="5">
        <f>$D40*$E40*'Auction Results'!N29</f>
        <v>0</v>
      </c>
      <c r="I40" s="5">
        <f>$D40*$E40*'Auction Results'!O29</f>
        <v>0</v>
      </c>
      <c r="J40" s="5">
        <f>$D40*$E40*'Auction Results'!P29</f>
        <v>0</v>
      </c>
      <c r="K40" s="5">
        <f>$D40*$E40*'Auction Results'!Q29</f>
        <v>0</v>
      </c>
      <c r="L40" s="5">
        <f>$D40*$E40*'Auction Results'!R29</f>
        <v>0</v>
      </c>
      <c r="M40" s="5">
        <f>$D40*$E40*'Auction Results'!S29</f>
        <v>0</v>
      </c>
      <c r="N40" s="5"/>
      <c r="P40" s="48">
        <f>'Auction Results'!K29*SUM(F40:M40)</f>
        <v>0</v>
      </c>
    </row>
    <row r="41" spans="1:16" x14ac:dyDescent="0.2">
      <c r="A41" s="43">
        <v>39083</v>
      </c>
      <c r="B41" s="43">
        <f>DATE(YEAR(A41),MONTH(A41)+'Auction Results'!F30,DAY(A41))</f>
        <v>39114</v>
      </c>
      <c r="C41" s="43"/>
      <c r="D41" s="5" t="b">
        <f t="shared" si="1"/>
        <v>0</v>
      </c>
      <c r="E41" s="5" t="b">
        <f>$B$5='Auction Results'!E30</f>
        <v>1</v>
      </c>
      <c r="F41" s="5">
        <f>$D41*$E41*'Auction Results'!L30</f>
        <v>0</v>
      </c>
      <c r="G41" s="5">
        <f>$D41*$E41*'Auction Results'!M30</f>
        <v>0</v>
      </c>
      <c r="H41" s="5">
        <f>$D41*$E41*'Auction Results'!N30</f>
        <v>0</v>
      </c>
      <c r="I41" s="5">
        <f>$D41*$E41*'Auction Results'!O30</f>
        <v>0</v>
      </c>
      <c r="J41" s="5">
        <f>$D41*$E41*'Auction Results'!P30</f>
        <v>0</v>
      </c>
      <c r="K41" s="5">
        <f>$D41*$E41*'Auction Results'!Q30</f>
        <v>0</v>
      </c>
      <c r="L41" s="5">
        <f>$D41*$E41*'Auction Results'!R30</f>
        <v>0</v>
      </c>
      <c r="M41" s="5">
        <f>$D41*$E41*'Auction Results'!S30</f>
        <v>0</v>
      </c>
      <c r="N41" s="5"/>
      <c r="P41" s="48">
        <f>'Auction Results'!K30*SUM(F41:M41)</f>
        <v>0</v>
      </c>
    </row>
    <row r="42" spans="1:16" x14ac:dyDescent="0.2">
      <c r="A42" s="43">
        <v>39173</v>
      </c>
      <c r="B42" s="43">
        <f>DATE(YEAR(A42),MONTH(A42)+'Auction Results'!F31,DAY(A42))</f>
        <v>39387</v>
      </c>
      <c r="C42" s="43"/>
      <c r="D42" s="5" t="b">
        <f t="shared" si="1"/>
        <v>0</v>
      </c>
      <c r="E42" s="5" t="b">
        <f>$B$5='Auction Results'!E31</f>
        <v>0</v>
      </c>
      <c r="F42" s="5">
        <f>$D42*$E42*'Auction Results'!L31</f>
        <v>0</v>
      </c>
      <c r="G42" s="5">
        <f>$D42*$E42*'Auction Results'!M31</f>
        <v>0</v>
      </c>
      <c r="H42" s="5">
        <f>$D42*$E42*'Auction Results'!N31</f>
        <v>0</v>
      </c>
      <c r="I42" s="5">
        <f>$D42*$E42*'Auction Results'!O31</f>
        <v>0</v>
      </c>
      <c r="J42" s="5">
        <f>$D42*$E42*'Auction Results'!P31</f>
        <v>0</v>
      </c>
      <c r="K42" s="5">
        <f>$D42*$E42*'Auction Results'!Q31</f>
        <v>0</v>
      </c>
      <c r="L42" s="5">
        <f>$D42*$E42*'Auction Results'!R31</f>
        <v>0</v>
      </c>
      <c r="M42" s="5">
        <f>$D42*$E42*'Auction Results'!S31</f>
        <v>0</v>
      </c>
      <c r="N42" s="5"/>
      <c r="P42" s="48">
        <f>'Auction Results'!K31*SUM(F42:M42)</f>
        <v>0</v>
      </c>
    </row>
    <row r="43" spans="1:16" x14ac:dyDescent="0.2">
      <c r="A43" s="43">
        <v>39173</v>
      </c>
      <c r="B43" s="43">
        <f>DATE(YEAR(A43),MONTH(A43)+'Auction Results'!F32,DAY(A43))</f>
        <v>39387</v>
      </c>
      <c r="C43" s="43"/>
      <c r="D43" s="5" t="b">
        <f t="shared" si="1"/>
        <v>0</v>
      </c>
      <c r="E43" s="5" t="b">
        <f>$B$5='Auction Results'!E32</f>
        <v>1</v>
      </c>
      <c r="F43" s="5">
        <f>$D43*$E43*'Auction Results'!L32</f>
        <v>0</v>
      </c>
      <c r="G43" s="5">
        <f>$D43*$E43*'Auction Results'!M32</f>
        <v>0</v>
      </c>
      <c r="H43" s="5">
        <f>$D43*$E43*'Auction Results'!N32</f>
        <v>0</v>
      </c>
      <c r="I43" s="5">
        <f>$D43*$E43*'Auction Results'!O32</f>
        <v>0</v>
      </c>
      <c r="J43" s="5">
        <f>$D43*$E43*'Auction Results'!P32</f>
        <v>0</v>
      </c>
      <c r="K43" s="5">
        <f>$D43*$E43*'Auction Results'!Q32</f>
        <v>0</v>
      </c>
      <c r="L43" s="5">
        <f>$D43*$E43*'Auction Results'!R32</f>
        <v>0</v>
      </c>
      <c r="M43" s="5">
        <f>$D43*$E43*'Auction Results'!S32</f>
        <v>0</v>
      </c>
      <c r="N43" s="5"/>
      <c r="P43" s="48">
        <f>'Auction Results'!K32*SUM(F43:M43)</f>
        <v>0</v>
      </c>
    </row>
    <row r="44" spans="1:16" x14ac:dyDescent="0.2">
      <c r="A44" s="43">
        <v>39173</v>
      </c>
      <c r="B44" s="43">
        <f>DATE(YEAR(A44),MONTH(A44)+'Auction Results'!F33,DAY(A44))</f>
        <v>39387</v>
      </c>
      <c r="C44" s="43"/>
      <c r="D44" s="5" t="b">
        <f t="shared" si="1"/>
        <v>0</v>
      </c>
      <c r="E44" s="5" t="b">
        <f>$B$5='Auction Results'!E33</f>
        <v>1</v>
      </c>
      <c r="F44" s="5">
        <f>$D44*$E44*'Auction Results'!L33</f>
        <v>0</v>
      </c>
      <c r="G44" s="5">
        <f>$D44*$E44*'Auction Results'!M33</f>
        <v>0</v>
      </c>
      <c r="H44" s="5">
        <f>$D44*$E44*'Auction Results'!N33</f>
        <v>0</v>
      </c>
      <c r="I44" s="5">
        <f>$D44*$E44*'Auction Results'!O33</f>
        <v>0</v>
      </c>
      <c r="J44" s="5">
        <f>$D44*$E44*'Auction Results'!P33</f>
        <v>0</v>
      </c>
      <c r="K44" s="5">
        <f>$D44*$E44*'Auction Results'!Q33</f>
        <v>0</v>
      </c>
      <c r="L44" s="5">
        <f>$D44*$E44*'Auction Results'!R33</f>
        <v>0</v>
      </c>
      <c r="M44" s="5">
        <f>$D44*$E44*'Auction Results'!S33</f>
        <v>0</v>
      </c>
      <c r="N44" s="5"/>
      <c r="P44" s="48">
        <f>'Auction Results'!K33*SUM(F44:M44)</f>
        <v>0</v>
      </c>
    </row>
    <row r="45" spans="1:16" x14ac:dyDescent="0.2">
      <c r="A45" s="43">
        <v>39114</v>
      </c>
      <c r="B45" s="43">
        <f>DATE(YEAR(A45),MONTH(A45)+'Auction Results'!F34,DAY(A45))</f>
        <v>39142</v>
      </c>
      <c r="C45" s="43"/>
      <c r="D45" s="5" t="b">
        <f t="shared" si="1"/>
        <v>0</v>
      </c>
      <c r="E45" s="5" t="b">
        <f>$B$5='Auction Results'!E34</f>
        <v>1</v>
      </c>
      <c r="F45" s="5">
        <f>$D45*$E45*'Auction Results'!L34</f>
        <v>0</v>
      </c>
      <c r="G45" s="5">
        <f>$D45*$E45*'Auction Results'!M34</f>
        <v>0</v>
      </c>
      <c r="H45" s="5">
        <f>$D45*$E45*'Auction Results'!N34</f>
        <v>0</v>
      </c>
      <c r="I45" s="5">
        <f>$D45*$E45*'Auction Results'!O34</f>
        <v>0</v>
      </c>
      <c r="J45" s="5">
        <f>$D45*$E45*'Auction Results'!P34</f>
        <v>0</v>
      </c>
      <c r="K45" s="5">
        <f>$D45*$E45*'Auction Results'!Q34</f>
        <v>0</v>
      </c>
      <c r="L45" s="5">
        <f>$D45*$E45*'Auction Results'!R34</f>
        <v>0</v>
      </c>
      <c r="M45" s="5">
        <f>$D45*$E45*'Auction Results'!S34</f>
        <v>0</v>
      </c>
      <c r="N45" s="5"/>
      <c r="P45" s="48">
        <f>'Auction Results'!K34*SUM(F45:M45)</f>
        <v>0</v>
      </c>
    </row>
    <row r="46" spans="1:16" x14ac:dyDescent="0.2">
      <c r="A46" s="43">
        <v>39114</v>
      </c>
      <c r="B46" s="43">
        <f>DATE(YEAR(A46),MONTH(A46)+'Auction Results'!F35,DAY(A46))</f>
        <v>39142</v>
      </c>
      <c r="C46" s="43"/>
      <c r="D46" s="5" t="b">
        <f t="shared" si="1"/>
        <v>0</v>
      </c>
      <c r="E46" s="5" t="b">
        <f>$B$5='Auction Results'!E35</f>
        <v>1</v>
      </c>
      <c r="F46" s="5">
        <f>$D46*$E46*'Auction Results'!L35</f>
        <v>0</v>
      </c>
      <c r="G46" s="5">
        <f>$D46*$E46*'Auction Results'!M35</f>
        <v>0</v>
      </c>
      <c r="H46" s="5">
        <f>$D46*$E46*'Auction Results'!N35</f>
        <v>0</v>
      </c>
      <c r="I46" s="5">
        <f>$D46*$E46*'Auction Results'!O35</f>
        <v>0</v>
      </c>
      <c r="J46" s="5">
        <f>$D46*$E46*'Auction Results'!P35</f>
        <v>0</v>
      </c>
      <c r="K46" s="5">
        <f>$D46*$E46*'Auction Results'!Q35</f>
        <v>0</v>
      </c>
      <c r="L46" s="5">
        <f>$D46*$E46*'Auction Results'!R35</f>
        <v>0</v>
      </c>
      <c r="M46" s="5">
        <f>$D46*$E46*'Auction Results'!S35</f>
        <v>0</v>
      </c>
      <c r="N46" s="5"/>
      <c r="P46" s="48">
        <f>'Auction Results'!K35*SUM(F46:M46)</f>
        <v>0</v>
      </c>
    </row>
    <row r="47" spans="1:16" x14ac:dyDescent="0.2">
      <c r="A47" s="43">
        <v>39142</v>
      </c>
      <c r="B47" s="43">
        <f>DATE(YEAR(A47),MONTH(A47)+'Auction Results'!F36,DAY(A47))</f>
        <v>39173</v>
      </c>
      <c r="C47" s="43"/>
      <c r="D47" s="5" t="b">
        <f t="shared" si="1"/>
        <v>0</v>
      </c>
      <c r="E47" s="5" t="b">
        <f>$B$5='Auction Results'!E36</f>
        <v>1</v>
      </c>
      <c r="F47" s="5">
        <f>$D47*$E47*'Auction Results'!L36</f>
        <v>0</v>
      </c>
      <c r="G47" s="5">
        <f>$D47*$E47*'Auction Results'!M36</f>
        <v>0</v>
      </c>
      <c r="H47" s="5">
        <f>$D47*$E47*'Auction Results'!N36</f>
        <v>0</v>
      </c>
      <c r="I47" s="5">
        <f>$D47*$E47*'Auction Results'!O36</f>
        <v>0</v>
      </c>
      <c r="J47" s="5">
        <f>$D47*$E47*'Auction Results'!P36</f>
        <v>0</v>
      </c>
      <c r="K47" s="5">
        <f>$D47*$E47*'Auction Results'!Q36</f>
        <v>0</v>
      </c>
      <c r="L47" s="5">
        <f>$D47*$E47*'Auction Results'!R36</f>
        <v>0</v>
      </c>
      <c r="M47" s="5">
        <f>$D47*$E47*'Auction Results'!S36</f>
        <v>0</v>
      </c>
      <c r="N47" s="5"/>
      <c r="P47" s="48">
        <f>'Auction Results'!K36*SUM(F47:M47)</f>
        <v>0</v>
      </c>
    </row>
    <row r="48" spans="1:16" x14ac:dyDescent="0.2">
      <c r="A48" s="43">
        <v>39173</v>
      </c>
      <c r="B48" s="43">
        <f>DATE(YEAR(A48),MONTH(A48)+'Auction Results'!F37,DAY(A48))</f>
        <v>39203</v>
      </c>
      <c r="C48" s="43"/>
      <c r="D48" s="5" t="b">
        <f t="shared" si="1"/>
        <v>0</v>
      </c>
      <c r="E48" s="5" t="b">
        <f>$B$5='Auction Results'!E37</f>
        <v>1</v>
      </c>
      <c r="F48" s="5">
        <f>$D48*$E48*'Auction Results'!L37</f>
        <v>0</v>
      </c>
      <c r="G48" s="5">
        <f>$D48*$E48*'Auction Results'!M37</f>
        <v>0</v>
      </c>
      <c r="H48" s="5">
        <f>$D48*$E48*'Auction Results'!N37</f>
        <v>0</v>
      </c>
      <c r="I48" s="5">
        <f>$D48*$E48*'Auction Results'!O37</f>
        <v>0</v>
      </c>
      <c r="J48" s="5">
        <f>$D48*$E48*'Auction Results'!P37</f>
        <v>0</v>
      </c>
      <c r="K48" s="5">
        <f>$D48*$E48*'Auction Results'!Q37</f>
        <v>0</v>
      </c>
      <c r="L48" s="5">
        <f>$D48*$E48*'Auction Results'!R37</f>
        <v>0</v>
      </c>
      <c r="M48" s="5">
        <f>$D48*$E48*'Auction Results'!S37</f>
        <v>0</v>
      </c>
      <c r="N48" s="5"/>
      <c r="P48" s="48">
        <f>'Auction Results'!K37*SUM(F48:M48)</f>
        <v>0</v>
      </c>
    </row>
    <row r="49" spans="1:16" x14ac:dyDescent="0.2">
      <c r="A49" s="43">
        <v>39203</v>
      </c>
      <c r="B49" s="43">
        <f>DATE(YEAR(A49),MONTH(A49)+'Auction Results'!F38,DAY(A49))</f>
        <v>39234</v>
      </c>
      <c r="C49" s="43"/>
      <c r="D49" s="5" t="b">
        <f t="shared" si="1"/>
        <v>0</v>
      </c>
      <c r="E49" s="5" t="b">
        <f>$B$5='Auction Results'!E38</f>
        <v>1</v>
      </c>
      <c r="F49" s="5">
        <f>$D49*$E49*'Auction Results'!L38</f>
        <v>0</v>
      </c>
      <c r="G49" s="5">
        <f>$D49*$E49*'Auction Results'!M38</f>
        <v>0</v>
      </c>
      <c r="H49" s="5">
        <f>$D49*$E49*'Auction Results'!N38</f>
        <v>0</v>
      </c>
      <c r="I49" s="5">
        <f>$D49*$E49*'Auction Results'!O38</f>
        <v>0</v>
      </c>
      <c r="J49" s="5">
        <f>$D49*$E49*'Auction Results'!P38</f>
        <v>0</v>
      </c>
      <c r="K49" s="5">
        <f>$D49*$E49*'Auction Results'!Q38</f>
        <v>0</v>
      </c>
      <c r="L49" s="5">
        <f>$D49*$E49*'Auction Results'!R38</f>
        <v>0</v>
      </c>
      <c r="M49" s="5">
        <f>$D49*$E49*'Auction Results'!S38</f>
        <v>0</v>
      </c>
      <c r="N49" s="5"/>
      <c r="P49" s="48">
        <f>'Auction Results'!K38*SUM(F49:M49)</f>
        <v>0</v>
      </c>
    </row>
    <row r="50" spans="1:16" x14ac:dyDescent="0.2">
      <c r="A50" s="43">
        <v>39234</v>
      </c>
      <c r="B50" s="43">
        <f>DATE(YEAR(A50),MONTH(A50)+'Auction Results'!F39,DAY(A50))</f>
        <v>39264</v>
      </c>
      <c r="C50" s="43"/>
      <c r="D50" s="5" t="b">
        <f t="shared" ref="D50:D81" si="2">AND(A50&lt;=$B$2,B50&gt;=$B$3)</f>
        <v>0</v>
      </c>
      <c r="E50" s="5" t="b">
        <f>$B$5='Auction Results'!E39</f>
        <v>1</v>
      </c>
      <c r="F50" s="5">
        <f>$D50*$E50*'Auction Results'!L39</f>
        <v>0</v>
      </c>
      <c r="G50" s="5">
        <f>$D50*$E50*'Auction Results'!M39</f>
        <v>0</v>
      </c>
      <c r="H50" s="5">
        <f>$D50*$E50*'Auction Results'!N39</f>
        <v>0</v>
      </c>
      <c r="I50" s="5">
        <f>$D50*$E50*'Auction Results'!O39</f>
        <v>0</v>
      </c>
      <c r="J50" s="5">
        <f>$D50*$E50*'Auction Results'!P39</f>
        <v>0</v>
      </c>
      <c r="K50" s="5">
        <f>$D50*$E50*'Auction Results'!Q39</f>
        <v>0</v>
      </c>
      <c r="L50" s="5">
        <f>$D50*$E50*'Auction Results'!R39</f>
        <v>0</v>
      </c>
      <c r="M50" s="5">
        <f>$D50*$E50*'Auction Results'!S39</f>
        <v>0</v>
      </c>
      <c r="N50" s="5"/>
      <c r="P50" s="48">
        <f>'Auction Results'!K39*SUM(F50:M50)</f>
        <v>0</v>
      </c>
    </row>
    <row r="51" spans="1:16" x14ac:dyDescent="0.2">
      <c r="A51" s="43">
        <v>39264</v>
      </c>
      <c r="B51" s="43">
        <f>DATE(YEAR(A51),MONTH(A51)+'Auction Results'!F40,DAY(A51))</f>
        <v>39295</v>
      </c>
      <c r="C51" s="43"/>
      <c r="D51" s="5" t="b">
        <f t="shared" si="2"/>
        <v>0</v>
      </c>
      <c r="E51" s="5" t="b">
        <f>$B$5='Auction Results'!E40</f>
        <v>1</v>
      </c>
      <c r="F51" s="5">
        <f>$D51*$E51*'Auction Results'!L40</f>
        <v>0</v>
      </c>
      <c r="G51" s="5">
        <f>$D51*$E51*'Auction Results'!M40</f>
        <v>0</v>
      </c>
      <c r="H51" s="5">
        <f>$D51*$E51*'Auction Results'!N40</f>
        <v>0</v>
      </c>
      <c r="I51" s="5">
        <f>$D51*$E51*'Auction Results'!O40</f>
        <v>0</v>
      </c>
      <c r="J51" s="5">
        <f>$D51*$E51*'Auction Results'!P40</f>
        <v>0</v>
      </c>
      <c r="K51" s="5">
        <f>$D51*$E51*'Auction Results'!Q40</f>
        <v>0</v>
      </c>
      <c r="L51" s="5">
        <f>$D51*$E51*'Auction Results'!R40</f>
        <v>0</v>
      </c>
      <c r="M51" s="5">
        <f>$D51*$E51*'Auction Results'!S40</f>
        <v>0</v>
      </c>
      <c r="N51" s="5"/>
      <c r="P51" s="48">
        <f>'Auction Results'!K40*SUM(F51:M51)</f>
        <v>0</v>
      </c>
    </row>
    <row r="52" spans="1:16" x14ac:dyDescent="0.2">
      <c r="A52" s="43">
        <v>39387</v>
      </c>
      <c r="B52" s="43">
        <f>DATE(YEAR(A52),MONTH(A52)+'Auction Results'!F41,DAY(A52))</f>
        <v>39722</v>
      </c>
      <c r="C52" s="43"/>
      <c r="D52" s="5" t="b">
        <f t="shared" si="2"/>
        <v>0</v>
      </c>
      <c r="E52" s="5" t="b">
        <f>$B$5='Auction Results'!E41</f>
        <v>1</v>
      </c>
      <c r="F52" s="5">
        <f>$D52*$E52*'Auction Results'!L41</f>
        <v>0</v>
      </c>
      <c r="G52" s="5">
        <f>$D52*$E52*'Auction Results'!M41</f>
        <v>0</v>
      </c>
      <c r="H52" s="5">
        <f>$D52*$E52*'Auction Results'!N41</f>
        <v>0</v>
      </c>
      <c r="I52" s="5">
        <f>$D52*$E52*'Auction Results'!O41</f>
        <v>0</v>
      </c>
      <c r="J52" s="5">
        <f>$D52*$E52*'Auction Results'!P41</f>
        <v>0</v>
      </c>
      <c r="K52" s="5">
        <f>$D52*$E52*'Auction Results'!Q41</f>
        <v>0</v>
      </c>
      <c r="L52" s="5">
        <f>$D52*$E52*'Auction Results'!R41</f>
        <v>0</v>
      </c>
      <c r="M52" s="5">
        <f>$D52*$E52*'Auction Results'!S41</f>
        <v>0</v>
      </c>
      <c r="N52" s="5"/>
      <c r="P52" s="48">
        <f>'Auction Results'!K41*SUM(F52:M52)</f>
        <v>0</v>
      </c>
    </row>
    <row r="53" spans="1:16" x14ac:dyDescent="0.2">
      <c r="A53" s="43">
        <v>39387</v>
      </c>
      <c r="B53" s="43">
        <f>DATE(YEAR(A53),MONTH(A53)+'Auction Results'!F42,DAY(A53))</f>
        <v>39753</v>
      </c>
      <c r="C53" s="43"/>
      <c r="D53" s="5" t="b">
        <f t="shared" si="2"/>
        <v>0</v>
      </c>
      <c r="E53" s="5" t="b">
        <f>$B$5='Auction Results'!E42</f>
        <v>1</v>
      </c>
      <c r="F53" s="5">
        <f>$D53*$E53*'Auction Results'!L42</f>
        <v>0</v>
      </c>
      <c r="G53" s="5">
        <f>$D53*$E53*'Auction Results'!M42</f>
        <v>0</v>
      </c>
      <c r="H53" s="5">
        <f>$D53*$E53*'Auction Results'!N42</f>
        <v>0</v>
      </c>
      <c r="I53" s="5">
        <f>$D53*$E53*'Auction Results'!O42</f>
        <v>0</v>
      </c>
      <c r="J53" s="5">
        <f>$D53*$E53*'Auction Results'!P42</f>
        <v>0</v>
      </c>
      <c r="K53" s="5">
        <f>$D53*$E53*'Auction Results'!Q42</f>
        <v>0</v>
      </c>
      <c r="L53" s="5">
        <f>$D53*$E53*'Auction Results'!R42</f>
        <v>0</v>
      </c>
      <c r="M53" s="5">
        <f>$D53*$E53*'Auction Results'!S42</f>
        <v>0</v>
      </c>
      <c r="N53" s="5"/>
      <c r="P53" s="48">
        <f>'Auction Results'!K42*SUM(F53:M53)</f>
        <v>0</v>
      </c>
    </row>
    <row r="54" spans="1:16" x14ac:dyDescent="0.2">
      <c r="A54" s="43">
        <v>39387</v>
      </c>
      <c r="B54" s="43">
        <f>DATE(YEAR(A54),MONTH(A54)+'Auction Results'!F43,DAY(A54))</f>
        <v>40087</v>
      </c>
      <c r="C54" s="43"/>
      <c r="D54" s="5" t="b">
        <f t="shared" si="2"/>
        <v>0</v>
      </c>
      <c r="E54" s="5" t="b">
        <f>$B$5='Auction Results'!E43</f>
        <v>1</v>
      </c>
      <c r="F54" s="5">
        <f>$D54*$E54*'Auction Results'!L43</f>
        <v>0</v>
      </c>
      <c r="G54" s="5">
        <f>$D54*$E54*'Auction Results'!M43</f>
        <v>0</v>
      </c>
      <c r="H54" s="5">
        <f>$D54*$E54*'Auction Results'!N43</f>
        <v>0</v>
      </c>
      <c r="I54" s="5">
        <f>$D54*$E54*'Auction Results'!O43</f>
        <v>0</v>
      </c>
      <c r="J54" s="5">
        <f>$D54*$E54*'Auction Results'!P43</f>
        <v>0</v>
      </c>
      <c r="K54" s="5">
        <f>$D54*$E54*'Auction Results'!Q43</f>
        <v>0</v>
      </c>
      <c r="L54" s="5">
        <f>$D54*$E54*'Auction Results'!R43</f>
        <v>0</v>
      </c>
      <c r="M54" s="5">
        <f>$D54*$E54*'Auction Results'!S43</f>
        <v>0</v>
      </c>
      <c r="N54" s="5"/>
      <c r="P54" s="48">
        <f>'Auction Results'!K43*SUM(F54:M54)</f>
        <v>0</v>
      </c>
    </row>
    <row r="55" spans="1:16" x14ac:dyDescent="0.2">
      <c r="A55" s="43">
        <v>39387</v>
      </c>
      <c r="B55" s="43">
        <f>DATE(YEAR(A55),MONTH(A55)+'Auction Results'!F44,DAY(A55))</f>
        <v>40452</v>
      </c>
      <c r="C55" s="43"/>
      <c r="D55" s="5" t="b">
        <f t="shared" si="2"/>
        <v>0</v>
      </c>
      <c r="E55" s="5" t="b">
        <f>$B$5='Auction Results'!E44</f>
        <v>1</v>
      </c>
      <c r="F55" s="5">
        <f>$D55*$E55*'Auction Results'!L44</f>
        <v>0</v>
      </c>
      <c r="G55" s="5">
        <f>$D55*$E55*'Auction Results'!M44</f>
        <v>0</v>
      </c>
      <c r="H55" s="5">
        <f>$D55*$E55*'Auction Results'!N44</f>
        <v>0</v>
      </c>
      <c r="I55" s="5">
        <f>$D55*$E55*'Auction Results'!O44</f>
        <v>0</v>
      </c>
      <c r="J55" s="5">
        <f>$D55*$E55*'Auction Results'!P44</f>
        <v>0</v>
      </c>
      <c r="K55" s="5">
        <f>$D55*$E55*'Auction Results'!Q44</f>
        <v>0</v>
      </c>
      <c r="L55" s="5">
        <f>$D55*$E55*'Auction Results'!R44</f>
        <v>0</v>
      </c>
      <c r="M55" s="5">
        <f>$D55*$E55*'Auction Results'!S44</f>
        <v>0</v>
      </c>
      <c r="N55" s="5"/>
      <c r="P55" s="48">
        <f>'Auction Results'!K44*SUM(F55:M55)</f>
        <v>0</v>
      </c>
    </row>
    <row r="56" spans="1:16" x14ac:dyDescent="0.2">
      <c r="A56" s="43">
        <v>39295</v>
      </c>
      <c r="B56" s="43">
        <f>DATE(YEAR(A56),MONTH(A56)+'Auction Results'!F45,DAY(A56))</f>
        <v>39326</v>
      </c>
      <c r="C56" s="43"/>
      <c r="D56" s="5" t="b">
        <f t="shared" si="2"/>
        <v>0</v>
      </c>
      <c r="E56" s="5" t="b">
        <f>$B$5='Auction Results'!E45</f>
        <v>1</v>
      </c>
      <c r="F56" s="5">
        <f>$D56*$E56*'Auction Results'!L45</f>
        <v>0</v>
      </c>
      <c r="G56" s="5">
        <f>$D56*$E56*'Auction Results'!M45</f>
        <v>0</v>
      </c>
      <c r="H56" s="5">
        <f>$D56*$E56*'Auction Results'!N45</f>
        <v>0</v>
      </c>
      <c r="I56" s="5">
        <f>$D56*$E56*'Auction Results'!O45</f>
        <v>0</v>
      </c>
      <c r="J56" s="5">
        <f>$D56*$E56*'Auction Results'!P45</f>
        <v>0</v>
      </c>
      <c r="K56" s="5">
        <f>$D56*$E56*'Auction Results'!Q45</f>
        <v>0</v>
      </c>
      <c r="L56" s="5">
        <f>$D56*$E56*'Auction Results'!R45</f>
        <v>0</v>
      </c>
      <c r="M56" s="5">
        <f>$D56*$E56*'Auction Results'!S45</f>
        <v>0</v>
      </c>
      <c r="N56" s="5"/>
      <c r="P56" s="48">
        <f>'Auction Results'!K45*SUM(F56:M56)</f>
        <v>0</v>
      </c>
    </row>
    <row r="57" spans="1:16" x14ac:dyDescent="0.2">
      <c r="A57" s="43">
        <v>39387</v>
      </c>
      <c r="B57" s="43">
        <f>DATE(YEAR(A57),MONTH(A57)+'Auction Results'!F46,DAY(A57))</f>
        <v>39722</v>
      </c>
      <c r="C57" s="43"/>
      <c r="D57" s="5" t="b">
        <f t="shared" si="2"/>
        <v>0</v>
      </c>
      <c r="E57" s="5" t="b">
        <f>$B$5='Auction Results'!E46</f>
        <v>1</v>
      </c>
      <c r="F57" s="5">
        <f>$D57*$E57*'Auction Results'!L46</f>
        <v>0</v>
      </c>
      <c r="G57" s="5">
        <f>$D57*$E57*'Auction Results'!M46</f>
        <v>0</v>
      </c>
      <c r="H57" s="5">
        <f>$D57*$E57*'Auction Results'!N46</f>
        <v>0</v>
      </c>
      <c r="I57" s="5">
        <f>$D57*$E57*'Auction Results'!O46</f>
        <v>0</v>
      </c>
      <c r="J57" s="5">
        <f>$D57*$E57*'Auction Results'!P46</f>
        <v>0</v>
      </c>
      <c r="K57" s="5">
        <f>$D57*$E57*'Auction Results'!Q46</f>
        <v>0</v>
      </c>
      <c r="L57" s="5">
        <f>$D57*$E57*'Auction Results'!R46</f>
        <v>0</v>
      </c>
      <c r="M57" s="5">
        <f>$D57*$E57*'Auction Results'!S46</f>
        <v>0</v>
      </c>
      <c r="N57" s="5"/>
      <c r="P57" s="48">
        <f>'Auction Results'!K46*SUM(F57:M57)</f>
        <v>0</v>
      </c>
    </row>
    <row r="58" spans="1:16" x14ac:dyDescent="0.2">
      <c r="A58" s="43">
        <v>39387</v>
      </c>
      <c r="B58" s="43">
        <f>DATE(YEAR(A58),MONTH(A58)+'Auction Results'!F47,DAY(A58))</f>
        <v>39753</v>
      </c>
      <c r="C58" s="43"/>
      <c r="D58" s="5" t="b">
        <f t="shared" si="2"/>
        <v>0</v>
      </c>
      <c r="E58" s="5" t="b">
        <f>$B$5='Auction Results'!E47</f>
        <v>1</v>
      </c>
      <c r="F58" s="5">
        <f>$D58*$E58*'Auction Results'!L47</f>
        <v>0</v>
      </c>
      <c r="G58" s="5">
        <f>$D58*$E58*'Auction Results'!M47</f>
        <v>0</v>
      </c>
      <c r="H58" s="5">
        <f>$D58*$E58*'Auction Results'!N47</f>
        <v>0</v>
      </c>
      <c r="I58" s="5">
        <f>$D58*$E58*'Auction Results'!O47</f>
        <v>0</v>
      </c>
      <c r="J58" s="5">
        <f>$D58*$E58*'Auction Results'!P47</f>
        <v>0</v>
      </c>
      <c r="K58" s="5">
        <f>$D58*$E58*'Auction Results'!Q47</f>
        <v>0</v>
      </c>
      <c r="L58" s="5">
        <f>$D58*$E58*'Auction Results'!R47</f>
        <v>0</v>
      </c>
      <c r="M58" s="5">
        <f>$D58*$E58*'Auction Results'!S47</f>
        <v>0</v>
      </c>
      <c r="N58" s="5"/>
      <c r="P58" s="48">
        <f>'Auction Results'!K47*SUM(F58:M58)</f>
        <v>0</v>
      </c>
    </row>
    <row r="59" spans="1:16" x14ac:dyDescent="0.2">
      <c r="A59" s="43">
        <v>39387</v>
      </c>
      <c r="B59" s="43">
        <f>DATE(YEAR(A59),MONTH(A59)+'Auction Results'!F48,DAY(A59))</f>
        <v>40087</v>
      </c>
      <c r="C59" s="43"/>
      <c r="D59" s="5" t="b">
        <f t="shared" si="2"/>
        <v>0</v>
      </c>
      <c r="E59" s="5" t="b">
        <f>$B$5='Auction Results'!E48</f>
        <v>1</v>
      </c>
      <c r="F59" s="5">
        <f>$D59*$E59*'Auction Results'!L48</f>
        <v>0</v>
      </c>
      <c r="G59" s="5">
        <f>$D59*$E59*'Auction Results'!M48</f>
        <v>0</v>
      </c>
      <c r="H59" s="5">
        <f>$D59*$E59*'Auction Results'!N48</f>
        <v>0</v>
      </c>
      <c r="I59" s="5">
        <f>$D59*$E59*'Auction Results'!O48</f>
        <v>0</v>
      </c>
      <c r="J59" s="5">
        <f>$D59*$E59*'Auction Results'!P48</f>
        <v>0</v>
      </c>
      <c r="K59" s="5">
        <f>$D59*$E59*'Auction Results'!Q48</f>
        <v>0</v>
      </c>
      <c r="L59" s="5">
        <f>$D59*$E59*'Auction Results'!R48</f>
        <v>0</v>
      </c>
      <c r="M59" s="5">
        <f>$D59*$E59*'Auction Results'!S48</f>
        <v>0</v>
      </c>
      <c r="N59" s="5"/>
      <c r="P59" s="48">
        <f>'Auction Results'!K48*SUM(F59:M59)</f>
        <v>0</v>
      </c>
    </row>
    <row r="60" spans="1:16" x14ac:dyDescent="0.2">
      <c r="A60" s="43">
        <v>39387</v>
      </c>
      <c r="B60" s="43">
        <f>DATE(YEAR(A60),MONTH(A60)+'Auction Results'!F49,DAY(A60))</f>
        <v>40452</v>
      </c>
      <c r="C60" s="43"/>
      <c r="D60" s="5" t="b">
        <f t="shared" si="2"/>
        <v>0</v>
      </c>
      <c r="E60" s="5" t="b">
        <f>$B$5='Auction Results'!E49</f>
        <v>1</v>
      </c>
      <c r="F60" s="5">
        <f>$D60*$E60*'Auction Results'!L49</f>
        <v>0</v>
      </c>
      <c r="G60" s="5">
        <f>$D60*$E60*'Auction Results'!M49</f>
        <v>0</v>
      </c>
      <c r="H60" s="5">
        <f>$D60*$E60*'Auction Results'!N49</f>
        <v>0</v>
      </c>
      <c r="I60" s="5">
        <f>$D60*$E60*'Auction Results'!O49</f>
        <v>0</v>
      </c>
      <c r="J60" s="5">
        <f>$D60*$E60*'Auction Results'!P49</f>
        <v>0</v>
      </c>
      <c r="K60" s="5">
        <f>$D60*$E60*'Auction Results'!Q49</f>
        <v>0</v>
      </c>
      <c r="L60" s="5">
        <f>$D60*$E60*'Auction Results'!R49</f>
        <v>0</v>
      </c>
      <c r="M60" s="5">
        <f>$D60*$E60*'Auction Results'!S49</f>
        <v>0</v>
      </c>
      <c r="N60" s="5"/>
      <c r="P60" s="48">
        <f>'Auction Results'!K49*SUM(F60:M60)</f>
        <v>0</v>
      </c>
    </row>
    <row r="61" spans="1:16" x14ac:dyDescent="0.2">
      <c r="A61" s="43">
        <v>39326</v>
      </c>
      <c r="B61" s="43">
        <f>DATE(YEAR(A61),MONTH(A61)+'Auction Results'!F50,DAY(A61))</f>
        <v>39356</v>
      </c>
      <c r="C61" s="43"/>
      <c r="D61" s="5" t="b">
        <f t="shared" si="2"/>
        <v>0</v>
      </c>
      <c r="E61" s="5" t="b">
        <f>$B$5='Auction Results'!E50</f>
        <v>1</v>
      </c>
      <c r="F61" s="5">
        <f>$D61*$E61*'Auction Results'!L50</f>
        <v>0</v>
      </c>
      <c r="G61" s="5">
        <f>$D61*$E61*'Auction Results'!M50</f>
        <v>0</v>
      </c>
      <c r="H61" s="5">
        <f>$D61*$E61*'Auction Results'!N50</f>
        <v>0</v>
      </c>
      <c r="I61" s="5">
        <f>$D61*$E61*'Auction Results'!O50</f>
        <v>0</v>
      </c>
      <c r="J61" s="5">
        <f>$D61*$E61*'Auction Results'!P50</f>
        <v>0</v>
      </c>
      <c r="K61" s="5">
        <f>$D61*$E61*'Auction Results'!Q50</f>
        <v>0</v>
      </c>
      <c r="L61" s="5">
        <f>$D61*$E61*'Auction Results'!R50</f>
        <v>0</v>
      </c>
      <c r="M61" s="5">
        <f>$D61*$E61*'Auction Results'!S50</f>
        <v>0</v>
      </c>
      <c r="N61" s="5"/>
      <c r="P61" s="48">
        <f>'Auction Results'!K50*SUM(F61:M61)</f>
        <v>0</v>
      </c>
    </row>
    <row r="62" spans="1:16" x14ac:dyDescent="0.2">
      <c r="A62" s="43">
        <v>39356</v>
      </c>
      <c r="B62" s="43">
        <f>DATE(YEAR(A62),MONTH(A62)+'Auction Results'!F51,DAY(A62))</f>
        <v>39387</v>
      </c>
      <c r="C62" s="43"/>
      <c r="D62" s="5" t="b">
        <f t="shared" si="2"/>
        <v>0</v>
      </c>
      <c r="E62" s="5" t="b">
        <f>$B$5='Auction Results'!E51</f>
        <v>1</v>
      </c>
      <c r="F62" s="5">
        <f>$D62*$E62*'Auction Results'!L51</f>
        <v>0</v>
      </c>
      <c r="G62" s="5">
        <f>$D62*$E62*'Auction Results'!M51</f>
        <v>0</v>
      </c>
      <c r="H62" s="5">
        <f>$D62*$E62*'Auction Results'!N51</f>
        <v>0</v>
      </c>
      <c r="I62" s="5">
        <f>$D62*$E62*'Auction Results'!O51</f>
        <v>0</v>
      </c>
      <c r="J62" s="5">
        <f>$D62*$E62*'Auction Results'!P51</f>
        <v>0</v>
      </c>
      <c r="K62" s="5">
        <f>$D62*$E62*'Auction Results'!Q51</f>
        <v>0</v>
      </c>
      <c r="L62" s="5">
        <f>$D62*$E62*'Auction Results'!R51</f>
        <v>0</v>
      </c>
      <c r="M62" s="5">
        <f>$D62*$E62*'Auction Results'!S51</f>
        <v>0</v>
      </c>
      <c r="N62" s="5"/>
      <c r="P62" s="48">
        <f>'Auction Results'!K51*SUM(F62:M62)</f>
        <v>0</v>
      </c>
    </row>
    <row r="63" spans="1:16" x14ac:dyDescent="0.2">
      <c r="A63" s="43">
        <v>39387</v>
      </c>
      <c r="B63" s="43">
        <f>DATE(YEAR(A63),MONTH(A63)+'Auction Results'!F52,DAY(A63))</f>
        <v>39722</v>
      </c>
      <c r="C63" s="43"/>
      <c r="D63" s="5" t="b">
        <f t="shared" si="2"/>
        <v>0</v>
      </c>
      <c r="E63" s="5" t="b">
        <f>$B$5='Auction Results'!E52</f>
        <v>1</v>
      </c>
      <c r="F63" s="5">
        <f>$D63*$E63*'Auction Results'!L52</f>
        <v>0</v>
      </c>
      <c r="G63" s="5">
        <f>$D63*$E63*'Auction Results'!M52</f>
        <v>0</v>
      </c>
      <c r="H63" s="5">
        <f>$D63*$E63*'Auction Results'!N52</f>
        <v>0</v>
      </c>
      <c r="I63" s="5">
        <f>$D63*$E63*'Auction Results'!O52</f>
        <v>0</v>
      </c>
      <c r="J63" s="5">
        <f>$D63*$E63*'Auction Results'!P52</f>
        <v>0</v>
      </c>
      <c r="K63" s="5">
        <f>$D63*$E63*'Auction Results'!Q52</f>
        <v>0</v>
      </c>
      <c r="L63" s="5">
        <f>$D63*$E63*'Auction Results'!R52</f>
        <v>0</v>
      </c>
      <c r="M63" s="5">
        <f>$D63*$E63*'Auction Results'!S52</f>
        <v>0</v>
      </c>
      <c r="N63" s="5"/>
      <c r="P63" s="48">
        <f>'Auction Results'!K52*SUM(F63:M63)</f>
        <v>0</v>
      </c>
    </row>
    <row r="64" spans="1:16" x14ac:dyDescent="0.2">
      <c r="A64" s="43">
        <v>39387</v>
      </c>
      <c r="B64" s="43">
        <f>DATE(YEAR(A64),MONTH(A64)+'Auction Results'!F53,DAY(A64))</f>
        <v>39753</v>
      </c>
      <c r="C64" s="43"/>
      <c r="D64" s="5" t="b">
        <f t="shared" si="2"/>
        <v>0</v>
      </c>
      <c r="E64" s="5" t="b">
        <f>$B$5='Auction Results'!E53</f>
        <v>0</v>
      </c>
      <c r="F64" s="5">
        <f>$D64*$E64*'Auction Results'!L53</f>
        <v>0</v>
      </c>
      <c r="G64" s="5">
        <f>$D64*$E64*'Auction Results'!M53</f>
        <v>0</v>
      </c>
      <c r="H64" s="5">
        <f>$D64*$E64*'Auction Results'!N53</f>
        <v>0</v>
      </c>
      <c r="I64" s="5">
        <f>$D64*$E64*'Auction Results'!O53</f>
        <v>0</v>
      </c>
      <c r="J64" s="5">
        <f>$D64*$E64*'Auction Results'!P53</f>
        <v>0</v>
      </c>
      <c r="K64" s="5">
        <f>$D64*$E64*'Auction Results'!Q53</f>
        <v>0</v>
      </c>
      <c r="L64" s="5">
        <f>$D64*$E64*'Auction Results'!R53</f>
        <v>0</v>
      </c>
      <c r="M64" s="5">
        <f>$D64*$E64*'Auction Results'!S53</f>
        <v>0</v>
      </c>
      <c r="N64" s="5"/>
      <c r="P64" s="48">
        <f>'Auction Results'!K53*SUM(F64:M64)</f>
        <v>0</v>
      </c>
    </row>
    <row r="65" spans="1:16" x14ac:dyDescent="0.2">
      <c r="A65" s="43">
        <v>39387</v>
      </c>
      <c r="B65" s="43">
        <f>DATE(YEAR(A65),MONTH(A65)+'Auction Results'!F54,DAY(A65))</f>
        <v>39753</v>
      </c>
      <c r="C65" s="43"/>
      <c r="D65" s="5" t="b">
        <f t="shared" si="2"/>
        <v>0</v>
      </c>
      <c r="E65" s="5" t="b">
        <f>$B$5='Auction Results'!E54</f>
        <v>1</v>
      </c>
      <c r="F65" s="5">
        <f>$D65*$E65*'Auction Results'!L54</f>
        <v>0</v>
      </c>
      <c r="G65" s="5">
        <f>$D65*$E65*'Auction Results'!M54</f>
        <v>0</v>
      </c>
      <c r="H65" s="5">
        <f>$D65*$E65*'Auction Results'!N54</f>
        <v>0</v>
      </c>
      <c r="I65" s="5">
        <f>$D65*$E65*'Auction Results'!O54</f>
        <v>0</v>
      </c>
      <c r="J65" s="5">
        <f>$D65*$E65*'Auction Results'!P54</f>
        <v>0</v>
      </c>
      <c r="K65" s="5">
        <f>$D65*$E65*'Auction Results'!Q54</f>
        <v>0</v>
      </c>
      <c r="L65" s="5">
        <f>$D65*$E65*'Auction Results'!R54</f>
        <v>0</v>
      </c>
      <c r="M65" s="5">
        <f>$D65*$E65*'Auction Results'!S54</f>
        <v>0</v>
      </c>
      <c r="N65" s="5"/>
      <c r="P65" s="48">
        <f>'Auction Results'!K54*SUM(F65:M65)</f>
        <v>0</v>
      </c>
    </row>
    <row r="66" spans="1:16" x14ac:dyDescent="0.2">
      <c r="A66" s="43">
        <v>39387</v>
      </c>
      <c r="B66" s="43">
        <f>DATE(YEAR(A66),MONTH(A66)+'Auction Results'!F55,DAY(A66))</f>
        <v>39783</v>
      </c>
      <c r="C66" s="43"/>
      <c r="D66" s="5" t="b">
        <f t="shared" si="2"/>
        <v>0</v>
      </c>
      <c r="E66" s="5" t="b">
        <f>$B$5='Auction Results'!E55</f>
        <v>0</v>
      </c>
      <c r="F66" s="5">
        <f>$D66*$E66*'Auction Results'!L55</f>
        <v>0</v>
      </c>
      <c r="G66" s="5">
        <f>$D66*$E66*'Auction Results'!M55</f>
        <v>0</v>
      </c>
      <c r="H66" s="5">
        <f>$D66*$E66*'Auction Results'!N55</f>
        <v>0</v>
      </c>
      <c r="I66" s="5">
        <f>$D66*$E66*'Auction Results'!O55</f>
        <v>0</v>
      </c>
      <c r="J66" s="5">
        <f>$D66*$E66*'Auction Results'!P55</f>
        <v>0</v>
      </c>
      <c r="K66" s="5">
        <f>$D66*$E66*'Auction Results'!Q55</f>
        <v>0</v>
      </c>
      <c r="L66" s="5">
        <f>$D66*$E66*'Auction Results'!R55</f>
        <v>0</v>
      </c>
      <c r="M66" s="5">
        <f>$D66*$E66*'Auction Results'!S55</f>
        <v>0</v>
      </c>
      <c r="N66" s="5"/>
      <c r="P66" s="48">
        <f>'Auction Results'!K55*SUM(F66:M66)</f>
        <v>0</v>
      </c>
    </row>
    <row r="67" spans="1:16" x14ac:dyDescent="0.2">
      <c r="A67" s="43">
        <v>39387</v>
      </c>
      <c r="B67" s="43">
        <f>DATE(YEAR(A67),MONTH(A67)+'Auction Results'!F56,DAY(A67))</f>
        <v>39417</v>
      </c>
      <c r="C67" s="43"/>
      <c r="D67" s="5" t="b">
        <f t="shared" si="2"/>
        <v>0</v>
      </c>
      <c r="E67" s="5" t="b">
        <f>$B$5='Auction Results'!E56</f>
        <v>0</v>
      </c>
      <c r="F67" s="5">
        <f>$D67*$E67*'Auction Results'!L56</f>
        <v>0</v>
      </c>
      <c r="G67" s="5">
        <f>$D67*$E67*'Auction Results'!M56</f>
        <v>0</v>
      </c>
      <c r="H67" s="5">
        <f>$D67*$E67*'Auction Results'!N56</f>
        <v>0</v>
      </c>
      <c r="I67" s="5">
        <f>$D67*$E67*'Auction Results'!O56</f>
        <v>0</v>
      </c>
      <c r="J67" s="5">
        <f>$D67*$E67*'Auction Results'!P56</f>
        <v>0</v>
      </c>
      <c r="K67" s="5">
        <f>$D67*$E67*'Auction Results'!Q56</f>
        <v>0</v>
      </c>
      <c r="L67" s="5">
        <f>$D67*$E67*'Auction Results'!R56</f>
        <v>0</v>
      </c>
      <c r="M67" s="5">
        <f>$D67*$E67*'Auction Results'!S56</f>
        <v>0</v>
      </c>
      <c r="N67" s="5"/>
      <c r="P67" s="48">
        <f>'Auction Results'!K56*SUM(F67:M67)</f>
        <v>0</v>
      </c>
    </row>
    <row r="68" spans="1:16" x14ac:dyDescent="0.2">
      <c r="A68" s="43">
        <v>39387</v>
      </c>
      <c r="B68" s="43">
        <f>DATE(YEAR(A68),MONTH(A68)+'Auction Results'!F57,DAY(A68))</f>
        <v>39417</v>
      </c>
      <c r="C68" s="43"/>
      <c r="D68" s="5" t="b">
        <f t="shared" si="2"/>
        <v>0</v>
      </c>
      <c r="E68" s="5" t="b">
        <f>$B$5='Auction Results'!E57</f>
        <v>1</v>
      </c>
      <c r="F68" s="5">
        <f>$D68*$E68*'Auction Results'!L57</f>
        <v>0</v>
      </c>
      <c r="G68" s="5">
        <f>$D68*$E68*'Auction Results'!M57</f>
        <v>0</v>
      </c>
      <c r="H68" s="5">
        <f>$D68*$E68*'Auction Results'!N57</f>
        <v>0</v>
      </c>
      <c r="I68" s="5">
        <f>$D68*$E68*'Auction Results'!O57</f>
        <v>0</v>
      </c>
      <c r="J68" s="5">
        <f>$D68*$E68*'Auction Results'!P57</f>
        <v>0</v>
      </c>
      <c r="K68" s="5">
        <f>$D68*$E68*'Auction Results'!Q57</f>
        <v>0</v>
      </c>
      <c r="L68" s="5">
        <f>$D68*$E68*'Auction Results'!R57</f>
        <v>0</v>
      </c>
      <c r="M68" s="5">
        <f>$D68*$E68*'Auction Results'!S57</f>
        <v>0</v>
      </c>
      <c r="N68" s="5"/>
      <c r="P68" s="48">
        <f>'Auction Results'!K57*SUM(F68:M68)</f>
        <v>0</v>
      </c>
    </row>
    <row r="69" spans="1:16" x14ac:dyDescent="0.2">
      <c r="A69" s="43">
        <v>39417</v>
      </c>
      <c r="B69" s="43">
        <f>DATE(YEAR(A69),MONTH(A69)+'Auction Results'!F58,DAY(A69))</f>
        <v>39448</v>
      </c>
      <c r="C69" s="43"/>
      <c r="D69" s="5" t="b">
        <f t="shared" si="2"/>
        <v>0</v>
      </c>
      <c r="E69" s="5" t="b">
        <f>$B$5='Auction Results'!E58</f>
        <v>0</v>
      </c>
      <c r="F69" s="5">
        <f>$D69*$E69*'Auction Results'!L58</f>
        <v>0</v>
      </c>
      <c r="G69" s="5">
        <f>$D69*$E69*'Auction Results'!M58</f>
        <v>0</v>
      </c>
      <c r="H69" s="5">
        <f>$D69*$E69*'Auction Results'!N58</f>
        <v>0</v>
      </c>
      <c r="I69" s="5">
        <f>$D69*$E69*'Auction Results'!O58</f>
        <v>0</v>
      </c>
      <c r="J69" s="5">
        <f>$D69*$E69*'Auction Results'!P58</f>
        <v>0</v>
      </c>
      <c r="K69" s="5">
        <f>$D69*$E69*'Auction Results'!Q58</f>
        <v>0</v>
      </c>
      <c r="L69" s="5">
        <f>$D69*$E69*'Auction Results'!R58</f>
        <v>0</v>
      </c>
      <c r="M69" s="5">
        <f>$D69*$E69*'Auction Results'!S58</f>
        <v>0</v>
      </c>
      <c r="N69" s="5"/>
      <c r="P69" s="48">
        <f>'Auction Results'!K58*SUM(F69:M69)</f>
        <v>0</v>
      </c>
    </row>
    <row r="70" spans="1:16" x14ac:dyDescent="0.2">
      <c r="A70" s="43">
        <v>39448</v>
      </c>
      <c r="B70" s="43">
        <f>DATE(YEAR(A70),MONTH(A70)+'Auction Results'!F59,DAY(A70))</f>
        <v>39479</v>
      </c>
      <c r="C70" s="43"/>
      <c r="D70" s="5" t="b">
        <f t="shared" si="2"/>
        <v>0</v>
      </c>
      <c r="E70" s="5" t="b">
        <f>$B$5='Auction Results'!E59</f>
        <v>0</v>
      </c>
      <c r="F70" s="5">
        <f>$D70*$E70*'Auction Results'!L59</f>
        <v>0</v>
      </c>
      <c r="G70" s="5">
        <f>$D70*$E70*'Auction Results'!M59</f>
        <v>0</v>
      </c>
      <c r="H70" s="5">
        <f>$D70*$E70*'Auction Results'!N59</f>
        <v>0</v>
      </c>
      <c r="I70" s="5">
        <f>$D70*$E70*'Auction Results'!O59</f>
        <v>0</v>
      </c>
      <c r="J70" s="5">
        <f>$D70*$E70*'Auction Results'!P59</f>
        <v>0</v>
      </c>
      <c r="K70" s="5">
        <f>$D70*$E70*'Auction Results'!Q59</f>
        <v>0</v>
      </c>
      <c r="L70" s="5">
        <f>$D70*$E70*'Auction Results'!R59</f>
        <v>0</v>
      </c>
      <c r="M70" s="5">
        <f>$D70*$E70*'Auction Results'!S59</f>
        <v>0</v>
      </c>
      <c r="N70" s="5"/>
      <c r="P70" s="48">
        <f>'Auction Results'!K59*SUM(F70:M70)</f>
        <v>0</v>
      </c>
    </row>
    <row r="71" spans="1:16" x14ac:dyDescent="0.2">
      <c r="A71" s="43">
        <v>39448</v>
      </c>
      <c r="B71" s="43">
        <f>DATE(YEAR(A71),MONTH(A71)+'Auction Results'!F60,DAY(A71))</f>
        <v>39479</v>
      </c>
      <c r="C71" s="43"/>
      <c r="D71" s="5" t="b">
        <f t="shared" si="2"/>
        <v>0</v>
      </c>
      <c r="E71" s="5" t="b">
        <f>$B$5='Auction Results'!E60</f>
        <v>1</v>
      </c>
      <c r="F71" s="5">
        <f>$D71*$E71*'Auction Results'!L60</f>
        <v>0</v>
      </c>
      <c r="G71" s="5">
        <f>$D71*$E71*'Auction Results'!M60</f>
        <v>0</v>
      </c>
      <c r="H71" s="5">
        <f>$D71*$E71*'Auction Results'!N60</f>
        <v>0</v>
      </c>
      <c r="I71" s="5">
        <f>$D71*$E71*'Auction Results'!O60</f>
        <v>0</v>
      </c>
      <c r="J71" s="5">
        <f>$D71*$E71*'Auction Results'!P60</f>
        <v>0</v>
      </c>
      <c r="K71" s="5">
        <f>$D71*$E71*'Auction Results'!Q60</f>
        <v>0</v>
      </c>
      <c r="L71" s="5">
        <f>$D71*$E71*'Auction Results'!R60</f>
        <v>0</v>
      </c>
      <c r="M71" s="5">
        <f>$D71*$E71*'Auction Results'!S60</f>
        <v>0</v>
      </c>
      <c r="N71" s="5"/>
      <c r="P71" s="48">
        <f>'Auction Results'!K60*SUM(F71:M71)</f>
        <v>0</v>
      </c>
    </row>
    <row r="72" spans="1:16" x14ac:dyDescent="0.2">
      <c r="A72" s="43">
        <v>39479</v>
      </c>
      <c r="B72" s="43">
        <f>DATE(YEAR(A72),MONTH(A72)+'Auction Results'!F61,DAY(A72))</f>
        <v>39508</v>
      </c>
      <c r="C72" s="43"/>
      <c r="D72" s="5" t="b">
        <f t="shared" si="2"/>
        <v>0</v>
      </c>
      <c r="E72" s="5" t="b">
        <f>$B$5='Auction Results'!E61</f>
        <v>1</v>
      </c>
      <c r="F72" s="5">
        <f>$D72*$E72*'Auction Results'!L61</f>
        <v>0</v>
      </c>
      <c r="G72" s="5">
        <f>$D72*$E72*'Auction Results'!M61</f>
        <v>0</v>
      </c>
      <c r="H72" s="5">
        <f>$D72*$E72*'Auction Results'!N61</f>
        <v>0</v>
      </c>
      <c r="I72" s="5">
        <f>$D72*$E72*'Auction Results'!O61</f>
        <v>0</v>
      </c>
      <c r="J72" s="5">
        <f>$D72*$E72*'Auction Results'!P61</f>
        <v>0</v>
      </c>
      <c r="K72" s="5">
        <f>$D72*$E72*'Auction Results'!Q61</f>
        <v>0</v>
      </c>
      <c r="L72" s="5">
        <f>$D72*$E72*'Auction Results'!R61</f>
        <v>0</v>
      </c>
      <c r="M72" s="5">
        <f>$D72*$E72*'Auction Results'!S61</f>
        <v>0</v>
      </c>
      <c r="N72" s="5"/>
      <c r="P72" s="48">
        <f>'Auction Results'!K61*SUM(F72:M72)</f>
        <v>0</v>
      </c>
    </row>
    <row r="73" spans="1:16" x14ac:dyDescent="0.2">
      <c r="A73" s="43">
        <v>39508</v>
      </c>
      <c r="B73" s="43">
        <f>DATE(YEAR(A73),MONTH(A73)+'Auction Results'!F62,DAY(A73))</f>
        <v>39539</v>
      </c>
      <c r="C73" s="43"/>
      <c r="D73" s="5" t="b">
        <f t="shared" si="2"/>
        <v>0</v>
      </c>
      <c r="E73" s="5" t="b">
        <f>$B$5='Auction Results'!E62</f>
        <v>1</v>
      </c>
      <c r="F73" s="5">
        <f>$D73*$E73*'Auction Results'!L62</f>
        <v>0</v>
      </c>
      <c r="G73" s="5">
        <f>$D73*$E73*'Auction Results'!M62</f>
        <v>0</v>
      </c>
      <c r="H73" s="5">
        <f>$D73*$E73*'Auction Results'!N62</f>
        <v>0</v>
      </c>
      <c r="I73" s="5">
        <f>$D73*$E73*'Auction Results'!O62</f>
        <v>0</v>
      </c>
      <c r="J73" s="5">
        <f>$D73*$E73*'Auction Results'!P62</f>
        <v>0</v>
      </c>
      <c r="K73" s="5">
        <f>$D73*$E73*'Auction Results'!Q62</f>
        <v>0</v>
      </c>
      <c r="L73" s="5">
        <f>$D73*$E73*'Auction Results'!R62</f>
        <v>0</v>
      </c>
      <c r="M73" s="5">
        <f>$D73*$E73*'Auction Results'!S62</f>
        <v>0</v>
      </c>
      <c r="N73" s="5"/>
      <c r="P73" s="48">
        <f>'Auction Results'!K62*SUM(F73:M73)</f>
        <v>0</v>
      </c>
    </row>
    <row r="74" spans="1:16" x14ac:dyDescent="0.2">
      <c r="A74" s="43">
        <v>39539</v>
      </c>
      <c r="B74" s="43">
        <f>DATE(YEAR(A74),MONTH(A74)+'Auction Results'!F63,DAY(A74))</f>
        <v>39569</v>
      </c>
      <c r="C74" s="43"/>
      <c r="D74" s="5" t="b">
        <f t="shared" si="2"/>
        <v>0</v>
      </c>
      <c r="E74" s="5" t="b">
        <f>$B$5='Auction Results'!E63</f>
        <v>1</v>
      </c>
      <c r="F74" s="5">
        <f>$D74*$E74*'Auction Results'!L63</f>
        <v>0</v>
      </c>
      <c r="G74" s="5">
        <f>$D74*$E74*'Auction Results'!M63</f>
        <v>0</v>
      </c>
      <c r="H74" s="5">
        <f>$D74*$E74*'Auction Results'!N63</f>
        <v>0</v>
      </c>
      <c r="I74" s="5">
        <f>$D74*$E74*'Auction Results'!O63</f>
        <v>0</v>
      </c>
      <c r="J74" s="5">
        <f>$D74*$E74*'Auction Results'!P63</f>
        <v>0</v>
      </c>
      <c r="K74" s="5">
        <f>$D74*$E74*'Auction Results'!Q63</f>
        <v>0</v>
      </c>
      <c r="L74" s="5">
        <f>$D74*$E74*'Auction Results'!R63</f>
        <v>0</v>
      </c>
      <c r="M74" s="5">
        <f>$D74*$E74*'Auction Results'!S63</f>
        <v>0</v>
      </c>
      <c r="N74" s="5"/>
      <c r="P74" s="48">
        <f>'Auction Results'!K63*SUM(F74:M74)</f>
        <v>0</v>
      </c>
    </row>
    <row r="75" spans="1:16" x14ac:dyDescent="0.2">
      <c r="A75" s="43">
        <v>39569</v>
      </c>
      <c r="B75" s="43">
        <f>DATE(YEAR(A75),MONTH(A75)+'Auction Results'!F64,DAY(A75))</f>
        <v>39600</v>
      </c>
      <c r="C75" s="43"/>
      <c r="D75" s="5" t="b">
        <f t="shared" si="2"/>
        <v>0</v>
      </c>
      <c r="E75" s="5" t="b">
        <f>$B$5='Auction Results'!E64</f>
        <v>1</v>
      </c>
      <c r="F75" s="5">
        <f>$D75*$E75*'Auction Results'!L64</f>
        <v>0</v>
      </c>
      <c r="G75" s="5">
        <f>$D75*$E75*'Auction Results'!M64</f>
        <v>0</v>
      </c>
      <c r="H75" s="5">
        <f>$D75*$E75*'Auction Results'!N64</f>
        <v>0</v>
      </c>
      <c r="I75" s="5">
        <f>$D75*$E75*'Auction Results'!O64</f>
        <v>0</v>
      </c>
      <c r="J75" s="5">
        <f>$D75*$E75*'Auction Results'!P64</f>
        <v>0</v>
      </c>
      <c r="K75" s="5">
        <f>$D75*$E75*'Auction Results'!Q64</f>
        <v>0</v>
      </c>
      <c r="L75" s="5">
        <f>$D75*$E75*'Auction Results'!R64</f>
        <v>0</v>
      </c>
      <c r="M75" s="5">
        <f>$D75*$E75*'Auction Results'!S64</f>
        <v>0</v>
      </c>
      <c r="N75" s="5"/>
      <c r="P75" s="48">
        <f>'Auction Results'!K64*SUM(F75:M75)</f>
        <v>0</v>
      </c>
    </row>
    <row r="76" spans="1:16" x14ac:dyDescent="0.2">
      <c r="A76" s="43">
        <v>39753</v>
      </c>
      <c r="B76" s="43">
        <f>DATE(YEAR(A76),MONTH(A76)+'Auction Results'!F65,DAY(A76))</f>
        <v>40087</v>
      </c>
      <c r="C76" s="43"/>
      <c r="D76" s="5" t="b">
        <f t="shared" si="2"/>
        <v>0</v>
      </c>
      <c r="E76" s="5" t="b">
        <f>$B$5='Auction Results'!E65</f>
        <v>1</v>
      </c>
      <c r="F76" s="5">
        <f>$D76*$E76*'Auction Results'!L65</f>
        <v>0</v>
      </c>
      <c r="G76" s="5">
        <f>$D76*$E76*'Auction Results'!M65</f>
        <v>0</v>
      </c>
      <c r="H76" s="5">
        <f>$D76*$E76*'Auction Results'!N65</f>
        <v>0</v>
      </c>
      <c r="I76" s="5">
        <f>$D76*$E76*'Auction Results'!O65</f>
        <v>0</v>
      </c>
      <c r="J76" s="5">
        <f>$D76*$E76*'Auction Results'!P65</f>
        <v>0</v>
      </c>
      <c r="K76" s="5">
        <f>$D76*$E76*'Auction Results'!Q65</f>
        <v>0</v>
      </c>
      <c r="L76" s="5">
        <f>$D76*$E76*'Auction Results'!R65</f>
        <v>0</v>
      </c>
      <c r="M76" s="5">
        <f>$D76*$E76*'Auction Results'!S65</f>
        <v>0</v>
      </c>
      <c r="N76" s="5"/>
      <c r="P76" s="48">
        <f>'Auction Results'!K65*SUM(F76:M76)</f>
        <v>0</v>
      </c>
    </row>
    <row r="77" spans="1:16" x14ac:dyDescent="0.2">
      <c r="A77" s="43">
        <v>39753</v>
      </c>
      <c r="B77" s="43">
        <f>DATE(YEAR(A77),MONTH(A77)+'Auction Results'!F66,DAY(A77))</f>
        <v>40452</v>
      </c>
      <c r="C77" s="43"/>
      <c r="D77" s="5" t="b">
        <f t="shared" si="2"/>
        <v>0</v>
      </c>
      <c r="E77" s="5" t="b">
        <f>$B$5='Auction Results'!E66</f>
        <v>1</v>
      </c>
      <c r="F77" s="5">
        <f>$D77*$E77*'Auction Results'!L66</f>
        <v>0</v>
      </c>
      <c r="G77" s="5">
        <f>$D77*$E77*'Auction Results'!M66</f>
        <v>0</v>
      </c>
      <c r="H77" s="5">
        <f>$D77*$E77*'Auction Results'!N66</f>
        <v>0</v>
      </c>
      <c r="I77" s="5">
        <f>$D77*$E77*'Auction Results'!O66</f>
        <v>0</v>
      </c>
      <c r="J77" s="5">
        <f>$D77*$E77*'Auction Results'!P66</f>
        <v>0</v>
      </c>
      <c r="K77" s="5">
        <f>$D77*$E77*'Auction Results'!Q66</f>
        <v>0</v>
      </c>
      <c r="L77" s="5">
        <f>$D77*$E77*'Auction Results'!R66</f>
        <v>0</v>
      </c>
      <c r="M77" s="5">
        <f>$D77*$E77*'Auction Results'!S66</f>
        <v>0</v>
      </c>
      <c r="N77" s="5"/>
      <c r="P77" s="48">
        <f>'Auction Results'!K66*SUM(F77:M77)</f>
        <v>0</v>
      </c>
    </row>
    <row r="78" spans="1:16" x14ac:dyDescent="0.2">
      <c r="A78" s="43">
        <v>39600</v>
      </c>
      <c r="B78" s="43">
        <f>DATE(YEAR(A78),MONTH(A78)+'Auction Results'!F67,DAY(A78))</f>
        <v>39630</v>
      </c>
      <c r="C78" s="43"/>
      <c r="D78" s="5" t="b">
        <f t="shared" si="2"/>
        <v>0</v>
      </c>
      <c r="E78" s="5" t="b">
        <f>$B$5='Auction Results'!E67</f>
        <v>1</v>
      </c>
      <c r="F78" s="5">
        <f>$D78*$E78*'Auction Results'!L67</f>
        <v>0</v>
      </c>
      <c r="G78" s="5">
        <f>$D78*$E78*'Auction Results'!M67</f>
        <v>0</v>
      </c>
      <c r="H78" s="5">
        <f>$D78*$E78*'Auction Results'!N67</f>
        <v>0</v>
      </c>
      <c r="I78" s="5">
        <f>$D78*$E78*'Auction Results'!O67</f>
        <v>0</v>
      </c>
      <c r="J78" s="5">
        <f>$D78*$E78*'Auction Results'!P67</f>
        <v>0</v>
      </c>
      <c r="K78" s="5">
        <f>$D78*$E78*'Auction Results'!Q67</f>
        <v>0</v>
      </c>
      <c r="L78" s="5">
        <f>$D78*$E78*'Auction Results'!R67</f>
        <v>0</v>
      </c>
      <c r="M78" s="5">
        <f>$D78*$E78*'Auction Results'!S67</f>
        <v>0</v>
      </c>
      <c r="N78" s="5"/>
      <c r="P78" s="48">
        <f>'Auction Results'!K67*SUM(F78:M78)</f>
        <v>0</v>
      </c>
    </row>
    <row r="79" spans="1:16" x14ac:dyDescent="0.2">
      <c r="A79" s="43">
        <v>39722</v>
      </c>
      <c r="B79" s="43">
        <f>DATE(YEAR(A79),MONTH(A79)+'Auction Results'!F68,DAY(A79))</f>
        <v>40817</v>
      </c>
      <c r="C79" s="43"/>
      <c r="D79" s="5" t="b">
        <f t="shared" si="2"/>
        <v>1</v>
      </c>
      <c r="E79" s="5" t="b">
        <f>$B$5='Auction Results'!E68</f>
        <v>1</v>
      </c>
      <c r="F79" s="5">
        <f>$D79*$E79*'Auction Results'!L68</f>
        <v>5</v>
      </c>
      <c r="G79" s="5">
        <f>$D79*$E79*'Auction Results'!M68</f>
        <v>0</v>
      </c>
      <c r="H79" s="5">
        <f>$D79*$E79*'Auction Results'!N68</f>
        <v>0</v>
      </c>
      <c r="I79" s="5">
        <f>$D79*$E79*'Auction Results'!O68</f>
        <v>0</v>
      </c>
      <c r="J79" s="5">
        <f>$D79*$E79*'Auction Results'!P68</f>
        <v>0</v>
      </c>
      <c r="K79" s="5">
        <f>$D79*$E79*'Auction Results'!Q68</f>
        <v>0</v>
      </c>
      <c r="L79" s="5">
        <f>$D79*$E79*'Auction Results'!R68</f>
        <v>0</v>
      </c>
      <c r="M79" s="5">
        <f>$D79*$E79*'Auction Results'!S68</f>
        <v>0</v>
      </c>
      <c r="N79" s="5"/>
      <c r="P79" s="48">
        <f>'Auction Results'!K68*SUM(F79:M79)</f>
        <v>11450.75</v>
      </c>
    </row>
    <row r="80" spans="1:16" x14ac:dyDescent="0.2">
      <c r="A80" s="43">
        <v>39753</v>
      </c>
      <c r="B80" s="43">
        <f>DATE(YEAR(A80),MONTH(A80)+'Auction Results'!F69,DAY(A80))</f>
        <v>40087</v>
      </c>
      <c r="C80" s="43"/>
      <c r="D80" s="5" t="b">
        <f t="shared" si="2"/>
        <v>0</v>
      </c>
      <c r="E80" s="5" t="b">
        <f>$B$5='Auction Results'!E69</f>
        <v>1</v>
      </c>
      <c r="F80" s="5">
        <f>$D80*$E80*'Auction Results'!L69</f>
        <v>0</v>
      </c>
      <c r="G80" s="5">
        <f>$D80*$E80*'Auction Results'!M69</f>
        <v>0</v>
      </c>
      <c r="H80" s="5">
        <f>$D80*$E80*'Auction Results'!N69</f>
        <v>0</v>
      </c>
      <c r="I80" s="5">
        <f>$D80*$E80*'Auction Results'!O69</f>
        <v>0</v>
      </c>
      <c r="J80" s="5">
        <f>$D80*$E80*'Auction Results'!P69</f>
        <v>0</v>
      </c>
      <c r="K80" s="5">
        <f>$D80*$E80*'Auction Results'!Q69</f>
        <v>0</v>
      </c>
      <c r="L80" s="5">
        <f>$D80*$E80*'Auction Results'!R69</f>
        <v>0</v>
      </c>
      <c r="M80" s="5">
        <f>$D80*$E80*'Auction Results'!S69</f>
        <v>0</v>
      </c>
      <c r="N80" s="5"/>
      <c r="P80" s="48">
        <f>'Auction Results'!K69*SUM(F80:M80)</f>
        <v>0</v>
      </c>
    </row>
    <row r="81" spans="1:16" x14ac:dyDescent="0.2">
      <c r="A81" s="43">
        <v>39722</v>
      </c>
      <c r="B81" s="43">
        <f>DATE(YEAR(A81),MONTH(A81)+'Auction Results'!F70,DAY(A81))</f>
        <v>39722</v>
      </c>
      <c r="C81" s="43"/>
      <c r="D81" s="5" t="b">
        <f t="shared" si="2"/>
        <v>0</v>
      </c>
      <c r="E81" s="5" t="b">
        <f>$B$5='Auction Results'!E70</f>
        <v>0</v>
      </c>
      <c r="F81" s="5">
        <f>$D81*$E81*'Auction Results'!L70</f>
        <v>0</v>
      </c>
      <c r="G81" s="5">
        <f>$D81*$E81*'Auction Results'!M70</f>
        <v>0</v>
      </c>
      <c r="H81" s="5">
        <f>$D81*$E81*'Auction Results'!N70</f>
        <v>0</v>
      </c>
      <c r="I81" s="5">
        <f>$D81*$E81*'Auction Results'!O70</f>
        <v>0</v>
      </c>
      <c r="J81" s="5">
        <f>$D81*$E81*'Auction Results'!P70</f>
        <v>0</v>
      </c>
      <c r="K81" s="5">
        <f>$D81*$E81*'Auction Results'!Q70</f>
        <v>0</v>
      </c>
      <c r="L81" s="5">
        <f>$D81*$E81*'Auction Results'!R70</f>
        <v>0</v>
      </c>
      <c r="M81" s="5">
        <f>$D81*$E81*'Auction Results'!S70</f>
        <v>0</v>
      </c>
      <c r="N81" s="5"/>
      <c r="P81" s="48">
        <f>'Auction Results'!K70*SUM(F81:M81)</f>
        <v>0</v>
      </c>
    </row>
    <row r="82" spans="1:16" x14ac:dyDescent="0.2">
      <c r="A82" s="43">
        <v>39753</v>
      </c>
      <c r="B82" s="43">
        <f>DATE(YEAR(A82),MONTH(A82)+'Auction Results'!F71,DAY(A82))</f>
        <v>39753</v>
      </c>
      <c r="C82" s="43"/>
      <c r="D82" s="5" t="b">
        <f t="shared" ref="D82:D95" si="3">AND(A82&lt;=$B$2,B82&gt;=$B$3)</f>
        <v>0</v>
      </c>
      <c r="E82" s="5" t="b">
        <f>$B$5='Auction Results'!E71</f>
        <v>0</v>
      </c>
      <c r="F82" s="5">
        <f>$D82*$E82*'Auction Results'!L71</f>
        <v>0</v>
      </c>
      <c r="G82" s="5">
        <f>$D82*$E82*'Auction Results'!M71</f>
        <v>0</v>
      </c>
      <c r="H82" s="5">
        <f>$D82*$E82*'Auction Results'!N71</f>
        <v>0</v>
      </c>
      <c r="I82" s="5">
        <f>$D82*$E82*'Auction Results'!O71</f>
        <v>0</v>
      </c>
      <c r="J82" s="5">
        <f>$D82*$E82*'Auction Results'!P71</f>
        <v>0</v>
      </c>
      <c r="K82" s="5">
        <f>$D82*$E82*'Auction Results'!Q71</f>
        <v>0</v>
      </c>
      <c r="L82" s="5">
        <f>$D82*$E82*'Auction Results'!R71</f>
        <v>0</v>
      </c>
      <c r="M82" s="5">
        <f>$D82*$E82*'Auction Results'!S71</f>
        <v>0</v>
      </c>
      <c r="N82" s="5"/>
      <c r="P82" s="48">
        <f>'Auction Results'!K71*SUM(F82:M82)</f>
        <v>0</v>
      </c>
    </row>
    <row r="83" spans="1:16" x14ac:dyDescent="0.2">
      <c r="A83" s="43">
        <v>39753</v>
      </c>
      <c r="B83" s="43">
        <f>DATE(YEAR(A83),MONTH(A83)+'Auction Results'!F72,DAY(A83))</f>
        <v>39783</v>
      </c>
      <c r="C83" s="43"/>
      <c r="D83" s="5" t="b">
        <f t="shared" si="3"/>
        <v>0</v>
      </c>
      <c r="E83" s="5" t="b">
        <f>$B$5='Auction Results'!E72</f>
        <v>1</v>
      </c>
      <c r="F83" s="5">
        <f>$D83*$E83*'Auction Results'!L72</f>
        <v>0</v>
      </c>
      <c r="G83" s="5">
        <f>$D83*$E83*'Auction Results'!M72</f>
        <v>0</v>
      </c>
      <c r="H83" s="5">
        <f>$D83*$E83*'Auction Results'!N72</f>
        <v>0</v>
      </c>
      <c r="I83" s="5">
        <f>$D83*$E83*'Auction Results'!O72</f>
        <v>0</v>
      </c>
      <c r="J83" s="5">
        <f>$D83*$E83*'Auction Results'!P72</f>
        <v>0</v>
      </c>
      <c r="K83" s="5">
        <f>$D83*$E83*'Auction Results'!Q72</f>
        <v>0</v>
      </c>
      <c r="L83" s="5">
        <f>$D83*$E83*'Auction Results'!R72</f>
        <v>0</v>
      </c>
      <c r="M83" s="5">
        <f>$D83*$E83*'Auction Results'!S72</f>
        <v>0</v>
      </c>
      <c r="N83" s="5"/>
      <c r="P83" s="48">
        <f>'Auction Results'!K72*SUM(F83:M83)</f>
        <v>0</v>
      </c>
    </row>
    <row r="84" spans="1:16" x14ac:dyDescent="0.2">
      <c r="A84" s="43">
        <v>39783</v>
      </c>
      <c r="B84" s="43">
        <f>DATE(YEAR(A84),MONTH(A84)+'Auction Results'!F73,DAY(A84))</f>
        <v>39814</v>
      </c>
      <c r="C84" s="43"/>
      <c r="D84" s="5" t="b">
        <f t="shared" si="3"/>
        <v>0</v>
      </c>
      <c r="E84" s="5" t="b">
        <f>$B$5='Auction Results'!E73</f>
        <v>1</v>
      </c>
      <c r="F84" s="5">
        <f>$D84*$E84*'Auction Results'!L73</f>
        <v>0</v>
      </c>
      <c r="G84" s="5">
        <f>$D84*$E84*'Auction Results'!M73</f>
        <v>0</v>
      </c>
      <c r="H84" s="5">
        <f>$D84*$E84*'Auction Results'!N73</f>
        <v>0</v>
      </c>
      <c r="I84" s="5">
        <f>$D84*$E84*'Auction Results'!O73</f>
        <v>0</v>
      </c>
      <c r="J84" s="5">
        <f>$D84*$E84*'Auction Results'!P73</f>
        <v>0</v>
      </c>
      <c r="K84" s="5">
        <f>$D84*$E84*'Auction Results'!Q73</f>
        <v>0</v>
      </c>
      <c r="L84" s="5">
        <f>$D84*$E84*'Auction Results'!R73</f>
        <v>0</v>
      </c>
      <c r="M84" s="5">
        <f>$D84*$E84*'Auction Results'!S73</f>
        <v>0</v>
      </c>
      <c r="N84" s="5"/>
      <c r="P84" s="48">
        <f>'Auction Results'!K73*SUM(F84:M84)</f>
        <v>0</v>
      </c>
    </row>
    <row r="85" spans="1:16" x14ac:dyDescent="0.2">
      <c r="A85" s="43">
        <v>39783</v>
      </c>
      <c r="B85" s="43">
        <f>DATE(YEAR(A85),MONTH(A85)+'Auction Results'!F74,DAY(A85))</f>
        <v>39814</v>
      </c>
      <c r="C85" s="43"/>
      <c r="D85" s="5" t="b">
        <f t="shared" si="3"/>
        <v>0</v>
      </c>
      <c r="E85" s="5" t="b">
        <f>$B$5='Auction Results'!E74</f>
        <v>0</v>
      </c>
      <c r="F85" s="5">
        <f>$D85*$E85*'Auction Results'!L74</f>
        <v>0</v>
      </c>
      <c r="G85" s="5">
        <f>$D85*$E85*'Auction Results'!M74</f>
        <v>0</v>
      </c>
      <c r="H85" s="5">
        <f>$D85*$E85*'Auction Results'!N74</f>
        <v>0</v>
      </c>
      <c r="I85" s="5">
        <f>$D85*$E85*'Auction Results'!O74</f>
        <v>0</v>
      </c>
      <c r="J85" s="5">
        <f>$D85*$E85*'Auction Results'!P74</f>
        <v>0</v>
      </c>
      <c r="K85" s="5">
        <f>$D85*$E85*'Auction Results'!Q74</f>
        <v>0</v>
      </c>
      <c r="L85" s="5">
        <f>$D85*$E85*'Auction Results'!R74</f>
        <v>0</v>
      </c>
      <c r="M85" s="5">
        <f>$D85*$E85*'Auction Results'!S74</f>
        <v>0</v>
      </c>
      <c r="N85" s="5"/>
      <c r="P85" s="48">
        <f>'Auction Results'!K74*SUM(F85:M85)</f>
        <v>0</v>
      </c>
    </row>
    <row r="86" spans="1:16" x14ac:dyDescent="0.2">
      <c r="A86" s="43">
        <v>39783</v>
      </c>
      <c r="B86" s="43">
        <f>DATE(YEAR(A86),MONTH(A86)+'Auction Results'!F75,DAY(A86))</f>
        <v>39814</v>
      </c>
      <c r="C86" s="43"/>
      <c r="D86" s="5" t="b">
        <f t="shared" si="3"/>
        <v>0</v>
      </c>
      <c r="E86" s="5" t="b">
        <f>$B$5='Auction Results'!E75</f>
        <v>0</v>
      </c>
      <c r="F86" s="5">
        <f>$D86*$E86*'Auction Results'!L75</f>
        <v>0</v>
      </c>
      <c r="G86" s="5">
        <f>$D86*$E86*'Auction Results'!M75</f>
        <v>0</v>
      </c>
      <c r="H86" s="5">
        <f>$D86*$E86*'Auction Results'!N75</f>
        <v>0</v>
      </c>
      <c r="I86" s="5">
        <f>$D86*$E86*'Auction Results'!O75</f>
        <v>0</v>
      </c>
      <c r="J86" s="5">
        <f>$D86*$E86*'Auction Results'!P75</f>
        <v>0</v>
      </c>
      <c r="K86" s="5">
        <f>$D86*$E86*'Auction Results'!Q75</f>
        <v>0</v>
      </c>
      <c r="L86" s="5">
        <f>$D86*$E86*'Auction Results'!R75</f>
        <v>0</v>
      </c>
      <c r="M86" s="5">
        <f>$D86*$E86*'Auction Results'!S75</f>
        <v>0</v>
      </c>
      <c r="N86" s="5"/>
      <c r="P86" s="48">
        <f>'Auction Results'!K75*SUM(F86:M86)</f>
        <v>0</v>
      </c>
    </row>
    <row r="87" spans="1:16" x14ac:dyDescent="0.2">
      <c r="A87" s="43">
        <v>39814</v>
      </c>
      <c r="B87" s="43">
        <f>DATE(YEAR(A87),MONTH(A87)+'Auction Results'!F76,DAY(A87))</f>
        <v>39845</v>
      </c>
      <c r="C87" s="43"/>
      <c r="D87" s="5" t="b">
        <f t="shared" si="3"/>
        <v>0</v>
      </c>
      <c r="E87" s="5" t="b">
        <f>$B$5='Auction Results'!E76</f>
        <v>1</v>
      </c>
      <c r="F87" s="5">
        <f>$D87*$E87*'Auction Results'!L76</f>
        <v>0</v>
      </c>
      <c r="G87" s="5">
        <f>$D87*$E87*'Auction Results'!M76</f>
        <v>0</v>
      </c>
      <c r="H87" s="5">
        <f>$D87*$E87*'Auction Results'!N76</f>
        <v>0</v>
      </c>
      <c r="I87" s="5">
        <f>$D87*$E87*'Auction Results'!O76</f>
        <v>0</v>
      </c>
      <c r="J87" s="5">
        <f>$D87*$E87*'Auction Results'!P76</f>
        <v>0</v>
      </c>
      <c r="K87" s="5">
        <f>$D87*$E87*'Auction Results'!Q76</f>
        <v>0</v>
      </c>
      <c r="L87" s="5">
        <f>$D87*$E87*'Auction Results'!R76</f>
        <v>0</v>
      </c>
      <c r="M87" s="5">
        <f>$D87*$E87*'Auction Results'!S76</f>
        <v>0</v>
      </c>
      <c r="N87" s="5"/>
      <c r="P87" s="48">
        <f>'Auction Results'!K76*SUM(F87:M87)</f>
        <v>0</v>
      </c>
    </row>
    <row r="88" spans="1:16" x14ac:dyDescent="0.2">
      <c r="A88" s="43">
        <v>39814</v>
      </c>
      <c r="B88" s="43">
        <f>DATE(YEAR(A88),MONTH(A88)+'Auction Results'!F77,DAY(A88))</f>
        <v>39845</v>
      </c>
      <c r="C88" s="43"/>
      <c r="D88" s="5" t="b">
        <f t="shared" si="3"/>
        <v>0</v>
      </c>
      <c r="E88" s="5" t="b">
        <f>$B$5='Auction Results'!E77</f>
        <v>0</v>
      </c>
      <c r="F88" s="5">
        <f>$D88*$E88*'Auction Results'!L77</f>
        <v>0</v>
      </c>
      <c r="G88" s="5">
        <f>$D88*$E88*'Auction Results'!M77</f>
        <v>0</v>
      </c>
      <c r="H88" s="5">
        <f>$D88*$E88*'Auction Results'!N77</f>
        <v>0</v>
      </c>
      <c r="I88" s="5">
        <f>$D88*$E88*'Auction Results'!O77</f>
        <v>0</v>
      </c>
      <c r="J88" s="5">
        <f>$D88*$E88*'Auction Results'!P77</f>
        <v>0</v>
      </c>
      <c r="K88" s="5">
        <f>$D88*$E88*'Auction Results'!Q77</f>
        <v>0</v>
      </c>
      <c r="L88" s="5">
        <f>$D88*$E88*'Auction Results'!R77</f>
        <v>0</v>
      </c>
      <c r="M88" s="5">
        <f>$D88*$E88*'Auction Results'!S77</f>
        <v>0</v>
      </c>
      <c r="N88" s="5"/>
      <c r="P88" s="48">
        <f>'Auction Results'!K77*SUM(F88:M88)</f>
        <v>0</v>
      </c>
    </row>
    <row r="89" spans="1:16" x14ac:dyDescent="0.2">
      <c r="A89" s="43">
        <v>39814</v>
      </c>
      <c r="B89" s="43">
        <f>DATE(YEAR(A89),MONTH(A89)+'Auction Results'!F78,DAY(A89))</f>
        <v>39845</v>
      </c>
      <c r="C89" s="43"/>
      <c r="D89" s="5" t="b">
        <f t="shared" si="3"/>
        <v>0</v>
      </c>
      <c r="E89" s="5" t="b">
        <f>$B$5='Auction Results'!E78</f>
        <v>0</v>
      </c>
      <c r="F89" s="5">
        <f>$D89*$E89*'Auction Results'!L78</f>
        <v>0</v>
      </c>
      <c r="G89" s="5">
        <f>$D89*$E89*'Auction Results'!M78</f>
        <v>0</v>
      </c>
      <c r="H89" s="5">
        <f>$D89*$E89*'Auction Results'!N78</f>
        <v>0</v>
      </c>
      <c r="I89" s="5">
        <f>$D89*$E89*'Auction Results'!O78</f>
        <v>0</v>
      </c>
      <c r="J89" s="5">
        <f>$D89*$E89*'Auction Results'!P78</f>
        <v>0</v>
      </c>
      <c r="K89" s="5">
        <f>$D89*$E89*'Auction Results'!Q78</f>
        <v>0</v>
      </c>
      <c r="L89" s="5">
        <f>$D89*$E89*'Auction Results'!R78</f>
        <v>0</v>
      </c>
      <c r="M89" s="5">
        <f>$D89*$E89*'Auction Results'!S78</f>
        <v>0</v>
      </c>
      <c r="N89" s="5"/>
      <c r="P89" s="48">
        <f>'Auction Results'!K78*SUM(F89:M89)</f>
        <v>0</v>
      </c>
    </row>
    <row r="90" spans="1:16" x14ac:dyDescent="0.2">
      <c r="A90" s="43">
        <v>39845</v>
      </c>
      <c r="B90" s="43">
        <f>DATE(YEAR(A90),MONTH(A90)+'Auction Results'!F79,DAY(A90))</f>
        <v>39873</v>
      </c>
      <c r="C90" s="43"/>
      <c r="D90" s="5" t="b">
        <f t="shared" si="3"/>
        <v>0</v>
      </c>
      <c r="E90" s="5" t="b">
        <f>$B$5='Auction Results'!E79</f>
        <v>1</v>
      </c>
      <c r="F90" s="5">
        <f>$D90*$E90*'Auction Results'!L79</f>
        <v>0</v>
      </c>
      <c r="G90" s="5">
        <f>$D90*$E90*'Auction Results'!M79</f>
        <v>0</v>
      </c>
      <c r="H90" s="5">
        <f>$D90*$E90*'Auction Results'!N79</f>
        <v>0</v>
      </c>
      <c r="I90" s="5">
        <f>$D90*$E90*'Auction Results'!O79</f>
        <v>0</v>
      </c>
      <c r="J90" s="5">
        <f>$D90*$E90*'Auction Results'!P79</f>
        <v>0</v>
      </c>
      <c r="K90" s="5">
        <f>$D90*$E90*'Auction Results'!Q79</f>
        <v>0</v>
      </c>
      <c r="L90" s="5">
        <f>$D90*$E90*'Auction Results'!R79</f>
        <v>0</v>
      </c>
      <c r="M90" s="5">
        <f>$D90*$E90*'Auction Results'!S79</f>
        <v>0</v>
      </c>
      <c r="N90" s="5"/>
      <c r="P90" s="48">
        <f>'Auction Results'!K79*SUM(F90:M90)</f>
        <v>0</v>
      </c>
    </row>
    <row r="91" spans="1:16" x14ac:dyDescent="0.2">
      <c r="A91" s="43">
        <v>39845</v>
      </c>
      <c r="B91" s="43">
        <f>DATE(YEAR(A91),MONTH(A91)+'Auction Results'!F80,DAY(A91))</f>
        <v>39873</v>
      </c>
      <c r="C91" s="43"/>
      <c r="D91" s="5" t="b">
        <f t="shared" si="3"/>
        <v>0</v>
      </c>
      <c r="E91" s="5" t="b">
        <f>$B$5='Auction Results'!E80</f>
        <v>0</v>
      </c>
      <c r="F91" s="5">
        <f>$D91*$E91*'Auction Results'!L80</f>
        <v>0</v>
      </c>
      <c r="G91" s="5">
        <f>$D91*$E91*'Auction Results'!M80</f>
        <v>0</v>
      </c>
      <c r="H91" s="5">
        <f>$D91*$E91*'Auction Results'!N80</f>
        <v>0</v>
      </c>
      <c r="I91" s="5">
        <f>$D91*$E91*'Auction Results'!O80</f>
        <v>0</v>
      </c>
      <c r="J91" s="5">
        <f>$D91*$E91*'Auction Results'!P80</f>
        <v>0</v>
      </c>
      <c r="K91" s="5">
        <f>$D91*$E91*'Auction Results'!Q80</f>
        <v>0</v>
      </c>
      <c r="L91" s="5">
        <f>$D91*$E91*'Auction Results'!R80</f>
        <v>0</v>
      </c>
      <c r="M91" s="5">
        <f>$D91*$E91*'Auction Results'!S80</f>
        <v>0</v>
      </c>
      <c r="N91" s="5"/>
      <c r="P91" s="48">
        <f>'Auction Results'!K80*SUM(F91:M91)</f>
        <v>0</v>
      </c>
    </row>
    <row r="92" spans="1:16" x14ac:dyDescent="0.2">
      <c r="A92" s="43">
        <v>39873</v>
      </c>
      <c r="B92" s="43">
        <f>DATE(YEAR(A92),MONTH(A92)+'Auction Results'!F81,DAY(A92))</f>
        <v>39904</v>
      </c>
      <c r="C92" s="43"/>
      <c r="D92" s="5" t="b">
        <f t="shared" si="3"/>
        <v>0</v>
      </c>
      <c r="E92" s="5" t="b">
        <f>$B$5='Auction Results'!E81</f>
        <v>1</v>
      </c>
      <c r="F92" s="5">
        <f>$D92*$E92*'Auction Results'!L81</f>
        <v>0</v>
      </c>
      <c r="G92" s="5">
        <f>$D92*$E92*'Auction Results'!M81</f>
        <v>0</v>
      </c>
      <c r="H92" s="5">
        <f>$D92*$E92*'Auction Results'!N81</f>
        <v>0</v>
      </c>
      <c r="I92" s="5">
        <f>$D92*$E92*'Auction Results'!O81</f>
        <v>0</v>
      </c>
      <c r="J92" s="5">
        <f>$D92*$E92*'Auction Results'!P81</f>
        <v>0</v>
      </c>
      <c r="K92" s="5">
        <f>$D92*$E92*'Auction Results'!Q81</f>
        <v>0</v>
      </c>
      <c r="L92" s="5">
        <f>$D92*$E92*'Auction Results'!R81</f>
        <v>0</v>
      </c>
      <c r="M92" s="5">
        <f>$D92*$E92*'Auction Results'!S81</f>
        <v>0</v>
      </c>
      <c r="N92" s="5"/>
      <c r="P92" s="48">
        <f>'Auction Results'!K81*SUM(F92:M92)</f>
        <v>0</v>
      </c>
    </row>
    <row r="93" spans="1:16" x14ac:dyDescent="0.2">
      <c r="A93" s="43">
        <v>39873</v>
      </c>
      <c r="B93" s="43">
        <f>DATE(YEAR(A93),MONTH(A93)+'Auction Results'!F82,DAY(A93))</f>
        <v>39904</v>
      </c>
      <c r="C93" s="43"/>
      <c r="D93" s="5" t="b">
        <f t="shared" si="3"/>
        <v>0</v>
      </c>
      <c r="E93" s="5" t="b">
        <f>$B$5='Auction Results'!E82</f>
        <v>0</v>
      </c>
      <c r="F93" s="5">
        <f>$D93*$E93*'Auction Results'!L82</f>
        <v>0</v>
      </c>
      <c r="G93" s="5">
        <f>$D93*$E93*'Auction Results'!M82</f>
        <v>0</v>
      </c>
      <c r="H93" s="5">
        <f>$D93*$E93*'Auction Results'!N82</f>
        <v>0</v>
      </c>
      <c r="I93" s="5">
        <f>$D93*$E93*'Auction Results'!O82</f>
        <v>0</v>
      </c>
      <c r="J93" s="5">
        <f>$D93*$E93*'Auction Results'!P82</f>
        <v>0</v>
      </c>
      <c r="K93" s="5">
        <f>$D93*$E93*'Auction Results'!Q82</f>
        <v>0</v>
      </c>
      <c r="L93" s="5">
        <f>$D93*$E93*'Auction Results'!R82</f>
        <v>0</v>
      </c>
      <c r="M93" s="5">
        <f>$D93*$E93*'Auction Results'!S82</f>
        <v>0</v>
      </c>
      <c r="N93" s="5"/>
      <c r="P93" s="48">
        <f>'Auction Results'!K82*SUM(F93:M93)</f>
        <v>0</v>
      </c>
    </row>
    <row r="94" spans="1:16" x14ac:dyDescent="0.2">
      <c r="A94" s="43">
        <v>39904</v>
      </c>
      <c r="B94" s="43">
        <f>DATE(YEAR(A94),MONTH(A94)+'Auction Results'!F83,DAY(A94))</f>
        <v>39934</v>
      </c>
      <c r="C94" s="43"/>
      <c r="D94" s="5" t="b">
        <f t="shared" si="3"/>
        <v>0</v>
      </c>
      <c r="E94" s="5" t="b">
        <f>$B$5='Auction Results'!E83</f>
        <v>1</v>
      </c>
      <c r="F94" s="5">
        <f>$D94*$E94*'Auction Results'!L83</f>
        <v>0</v>
      </c>
      <c r="G94" s="5">
        <f>$D94*$E94*'Auction Results'!M83</f>
        <v>0</v>
      </c>
      <c r="H94" s="5">
        <f>$D94*$E94*'Auction Results'!N83</f>
        <v>0</v>
      </c>
      <c r="I94" s="5">
        <f>$D94*$E94*'Auction Results'!O83</f>
        <v>0</v>
      </c>
      <c r="J94" s="5">
        <f>$D94*$E94*'Auction Results'!P83</f>
        <v>0</v>
      </c>
      <c r="K94" s="5">
        <f>$D94*$E94*'Auction Results'!Q83</f>
        <v>0</v>
      </c>
      <c r="L94" s="5">
        <f>$D94*$E94*'Auction Results'!R83</f>
        <v>0</v>
      </c>
      <c r="M94" s="5">
        <f>$D94*$E94*'Auction Results'!S83</f>
        <v>0</v>
      </c>
      <c r="N94" s="5"/>
      <c r="P94" s="48">
        <f>'Auction Results'!K83*SUM(F94:M94)</f>
        <v>0</v>
      </c>
    </row>
    <row r="95" spans="1:16" x14ac:dyDescent="0.2">
      <c r="A95" s="43">
        <v>39904</v>
      </c>
      <c r="B95" s="43">
        <f>DATE(YEAR(A95),MONTH(A95)+'Auction Results'!F84,DAY(A95))</f>
        <v>39934</v>
      </c>
      <c r="C95" s="43"/>
      <c r="D95" s="5" t="b">
        <f t="shared" si="3"/>
        <v>0</v>
      </c>
      <c r="E95" s="5" t="b">
        <f>$B$5='Auction Results'!E84</f>
        <v>0</v>
      </c>
      <c r="F95" s="5">
        <f>$D95*$E95*'Auction Results'!L84</f>
        <v>0</v>
      </c>
      <c r="G95" s="5">
        <f>$D95*$E95*'Auction Results'!M84</f>
        <v>0</v>
      </c>
      <c r="H95" s="5">
        <f>$D95*$E95*'Auction Results'!N84</f>
        <v>0</v>
      </c>
      <c r="I95" s="5">
        <f>$D95*$E95*'Auction Results'!O84</f>
        <v>0</v>
      </c>
      <c r="J95" s="5">
        <f>$D95*$E95*'Auction Results'!P84</f>
        <v>0</v>
      </c>
      <c r="K95" s="5">
        <f>$D95*$E95*'Auction Results'!Q84</f>
        <v>0</v>
      </c>
      <c r="L95" s="5">
        <f>$D95*$E95*'Auction Results'!R84</f>
        <v>0</v>
      </c>
      <c r="M95" s="5">
        <f>$D95*$E95*'Auction Results'!S84</f>
        <v>0</v>
      </c>
      <c r="N95" s="5"/>
      <c r="P95" s="48">
        <f>'Auction Results'!K84*SUM(F95:M95)</f>
        <v>0</v>
      </c>
    </row>
    <row r="96" spans="1:16" x14ac:dyDescent="0.2">
      <c r="A96" s="43">
        <v>39904</v>
      </c>
      <c r="B96" s="43">
        <f>DATE(YEAR(A96),MONTH(A96)+'Auction Results'!F85,DAY(A96))</f>
        <v>40269</v>
      </c>
      <c r="C96" s="43"/>
      <c r="D96" s="5" t="b">
        <f t="shared" ref="D96:D109" si="4">AND(A96&lt;=$B$2,A96&lt;$B$3,B96&gt;=$B$3)</f>
        <v>0</v>
      </c>
      <c r="E96" s="5" t="b">
        <f>$B$5='Auction Results'!E85</f>
        <v>1</v>
      </c>
      <c r="F96" s="5">
        <f>$D96*$E96*'Auction Results'!L85</f>
        <v>0</v>
      </c>
      <c r="G96" s="5">
        <f>$D96*$E96*'Auction Results'!M85</f>
        <v>0</v>
      </c>
      <c r="H96" s="5">
        <f>$D96*$E96*'Auction Results'!N85</f>
        <v>0</v>
      </c>
      <c r="I96" s="5">
        <f>$D96*$E96*'Auction Results'!O85</f>
        <v>0</v>
      </c>
      <c r="J96" s="5">
        <f>$D96*$E96*'Auction Results'!P85</f>
        <v>0</v>
      </c>
      <c r="K96" s="5">
        <f>$D96*$E96*'Auction Results'!Q85</f>
        <v>0</v>
      </c>
      <c r="L96" s="5">
        <f>$D96*$E96*'Auction Results'!R85</f>
        <v>0</v>
      </c>
      <c r="M96" s="5">
        <f>$D96*$E96*'Auction Results'!S85</f>
        <v>0</v>
      </c>
      <c r="N96" s="5"/>
      <c r="P96" s="48">
        <f>'Auction Results'!K85*SUM(F96:M96)</f>
        <v>0</v>
      </c>
    </row>
    <row r="97" spans="1:16" x14ac:dyDescent="0.2">
      <c r="A97" s="43">
        <v>39934</v>
      </c>
      <c r="B97" s="43">
        <f>DATE(YEAR(A97),MONTH(A97)+'Auction Results'!F86,DAY(A97))</f>
        <v>39965</v>
      </c>
      <c r="C97" s="43"/>
      <c r="D97" s="5" t="b">
        <f t="shared" si="4"/>
        <v>0</v>
      </c>
      <c r="E97" s="5" t="b">
        <f>$B$5='Auction Results'!E86</f>
        <v>1</v>
      </c>
      <c r="F97" s="5">
        <f>$D97*$E97*'Auction Results'!L86</f>
        <v>0</v>
      </c>
      <c r="G97" s="5">
        <f>$D97*$E97*'Auction Results'!M86</f>
        <v>0</v>
      </c>
      <c r="H97" s="5">
        <f>$D97*$E97*'Auction Results'!N86</f>
        <v>0</v>
      </c>
      <c r="I97" s="5">
        <f>$D97*$E97*'Auction Results'!O86</f>
        <v>0</v>
      </c>
      <c r="J97" s="5">
        <f>$D97*$E97*'Auction Results'!P86</f>
        <v>0</v>
      </c>
      <c r="K97" s="5">
        <f>$D97*$E97*'Auction Results'!Q86</f>
        <v>0</v>
      </c>
      <c r="L97" s="5">
        <f>$D97*$E97*'Auction Results'!R86</f>
        <v>0</v>
      </c>
      <c r="M97" s="5">
        <f>$D97*$E97*'Auction Results'!S86</f>
        <v>0</v>
      </c>
      <c r="N97" s="5"/>
      <c r="P97" s="48">
        <f>'Auction Results'!K86*SUM(F97:M97)</f>
        <v>0</v>
      </c>
    </row>
    <row r="98" spans="1:16" x14ac:dyDescent="0.2">
      <c r="A98" s="43">
        <v>39965</v>
      </c>
      <c r="B98" s="43">
        <f>DATE(YEAR(A98),MONTH(A98)+'Auction Results'!F87,DAY(A98))</f>
        <v>39995</v>
      </c>
      <c r="C98" s="43"/>
      <c r="D98" s="5" t="b">
        <f t="shared" si="4"/>
        <v>0</v>
      </c>
      <c r="E98" s="5" t="b">
        <f>$B$5='Auction Results'!E87</f>
        <v>1</v>
      </c>
      <c r="F98" s="5">
        <f>$D98*$E98*'Auction Results'!L87</f>
        <v>0</v>
      </c>
      <c r="G98" s="5">
        <f>$D98*$E98*'Auction Results'!M87</f>
        <v>0</v>
      </c>
      <c r="H98" s="5">
        <f>$D98*$E98*'Auction Results'!N87</f>
        <v>0</v>
      </c>
      <c r="I98" s="5">
        <f>$D98*$E98*'Auction Results'!O87</f>
        <v>0</v>
      </c>
      <c r="J98" s="5">
        <f>$D98*$E98*'Auction Results'!P87</f>
        <v>0</v>
      </c>
      <c r="K98" s="5">
        <f>$D98*$E98*'Auction Results'!Q87</f>
        <v>0</v>
      </c>
      <c r="L98" s="5">
        <f>$D98*$E98*'Auction Results'!R87</f>
        <v>0</v>
      </c>
      <c r="M98" s="5">
        <f>$D98*$E98*'Auction Results'!S87</f>
        <v>0</v>
      </c>
      <c r="N98" s="5"/>
      <c r="P98" s="48">
        <f>'Auction Results'!K87*SUM(F98:M98)</f>
        <v>0</v>
      </c>
    </row>
    <row r="99" spans="1:16" x14ac:dyDescent="0.2">
      <c r="A99" s="43">
        <v>40087</v>
      </c>
      <c r="B99" s="43">
        <f>DATE(YEAR(A99),MONTH(A99)+'Auction Results'!F88,DAY(A99))</f>
        <v>40452</v>
      </c>
      <c r="C99" s="43"/>
      <c r="D99" s="5" t="b">
        <f t="shared" si="4"/>
        <v>0</v>
      </c>
      <c r="E99" s="5" t="b">
        <f>$B$5='Auction Results'!E88</f>
        <v>1</v>
      </c>
      <c r="F99" s="5">
        <f>$D99*$E99*'Auction Results'!L88</f>
        <v>0</v>
      </c>
      <c r="G99" s="5">
        <f>$D99*$E99*'Auction Results'!M88</f>
        <v>0</v>
      </c>
      <c r="H99" s="5">
        <f>$D99*$E99*'Auction Results'!N88</f>
        <v>0</v>
      </c>
      <c r="I99" s="5">
        <f>$D99*$E99*'Auction Results'!O88</f>
        <v>0</v>
      </c>
      <c r="J99" s="5">
        <f>$D99*$E99*'Auction Results'!P88</f>
        <v>0</v>
      </c>
      <c r="K99" s="5">
        <f>$D99*$E99*'Auction Results'!Q88</f>
        <v>0</v>
      </c>
      <c r="L99" s="5">
        <f>$D99*$E99*'Auction Results'!R88</f>
        <v>0</v>
      </c>
      <c r="M99" s="5">
        <f>$D99*$E99*'Auction Results'!S88</f>
        <v>0</v>
      </c>
      <c r="N99" s="5"/>
      <c r="P99" s="48">
        <f>'Auction Results'!K88*SUM(F99:M99)</f>
        <v>0</v>
      </c>
    </row>
    <row r="100" spans="1:16" x14ac:dyDescent="0.2">
      <c r="A100" s="43">
        <v>40452</v>
      </c>
      <c r="B100" s="43">
        <f>DATE(YEAR(A100),MONTH(A100)+'Auction Results'!F89,DAY(A100))</f>
        <v>40817</v>
      </c>
      <c r="C100" s="43"/>
      <c r="D100" s="5" t="b">
        <f t="shared" si="4"/>
        <v>1</v>
      </c>
      <c r="E100" s="5" t="b">
        <f>$B$5='Auction Results'!E89</f>
        <v>1</v>
      </c>
      <c r="F100" s="5">
        <f>$D100*$E100*'Auction Results'!L89</f>
        <v>0</v>
      </c>
      <c r="G100" s="5">
        <f>$D100*$E100*'Auction Results'!M89</f>
        <v>0</v>
      </c>
      <c r="H100" s="5">
        <f>$D100*$E100*'Auction Results'!N89</f>
        <v>0</v>
      </c>
      <c r="I100" s="5">
        <f>$D100*$E100*'Auction Results'!O89</f>
        <v>0</v>
      </c>
      <c r="J100" s="5">
        <f>$D100*$E100*'Auction Results'!P89</f>
        <v>30</v>
      </c>
      <c r="K100" s="5">
        <f>$D100*$E100*'Auction Results'!Q89</f>
        <v>0</v>
      </c>
      <c r="L100" s="5">
        <f>$D100*$E100*'Auction Results'!R89</f>
        <v>0</v>
      </c>
      <c r="M100" s="5">
        <f>$D100*$E100*'Auction Results'!S89</f>
        <v>0</v>
      </c>
      <c r="N100" s="5"/>
      <c r="P100" s="48">
        <f>'Auction Results'!K89*SUM(F100:M100)</f>
        <v>66000</v>
      </c>
    </row>
    <row r="101" spans="1:16" x14ac:dyDescent="0.2">
      <c r="A101" s="43">
        <v>40817</v>
      </c>
      <c r="B101" s="43">
        <f>DATE(YEAR(A101),MONTH(A101)+'Auction Results'!F90,DAY(A101))</f>
        <v>41183</v>
      </c>
      <c r="C101" s="43"/>
      <c r="D101" s="5" t="b">
        <f t="shared" si="4"/>
        <v>0</v>
      </c>
      <c r="E101" s="5" t="b">
        <f>$B$5='Auction Results'!E90</f>
        <v>1</v>
      </c>
      <c r="F101" s="5">
        <f>$D101*$E101*'Auction Results'!L90</f>
        <v>0</v>
      </c>
      <c r="G101" s="5">
        <f>$D101*$E101*'Auction Results'!M90</f>
        <v>0</v>
      </c>
      <c r="H101" s="5">
        <f>$D101*$E101*'Auction Results'!N90</f>
        <v>0</v>
      </c>
      <c r="I101" s="5">
        <f>$D101*$E101*'Auction Results'!O90</f>
        <v>0</v>
      </c>
      <c r="J101" s="5">
        <f>$D101*$E101*'Auction Results'!P90</f>
        <v>0</v>
      </c>
      <c r="K101" s="5">
        <f>$D101*$E101*'Auction Results'!Q90</f>
        <v>0</v>
      </c>
      <c r="L101" s="5">
        <f>$D101*$E101*'Auction Results'!R90</f>
        <v>0</v>
      </c>
      <c r="M101" s="5">
        <f>$D101*$E101*'Auction Results'!S90</f>
        <v>0</v>
      </c>
      <c r="N101" s="5"/>
      <c r="P101" s="48">
        <f>'Auction Results'!K90*SUM(F101:M101)</f>
        <v>0</v>
      </c>
    </row>
    <row r="102" spans="1:16" x14ac:dyDescent="0.2">
      <c r="A102" s="43">
        <v>39995</v>
      </c>
      <c r="B102" s="43">
        <f>DATE(YEAR(A102),MONTH(A102)+'Auction Results'!F91,DAY(A102))</f>
        <v>40026</v>
      </c>
      <c r="C102" s="43"/>
      <c r="D102" s="5" t="b">
        <f t="shared" si="4"/>
        <v>0</v>
      </c>
      <c r="E102" s="5" t="b">
        <f>$B$5='Auction Results'!E91</f>
        <v>1</v>
      </c>
      <c r="F102" s="5">
        <f>$D102*$E102*'Auction Results'!L91</f>
        <v>0</v>
      </c>
      <c r="G102" s="5">
        <f>$D102*$E102*'Auction Results'!M91</f>
        <v>0</v>
      </c>
      <c r="H102" s="5">
        <f>$D102*$E102*'Auction Results'!N91</f>
        <v>0</v>
      </c>
      <c r="I102" s="5">
        <f>$D102*$E102*'Auction Results'!O91</f>
        <v>0</v>
      </c>
      <c r="J102" s="5">
        <f>$D102*$E102*'Auction Results'!P91</f>
        <v>0</v>
      </c>
      <c r="K102" s="5">
        <f>$D102*$E102*'Auction Results'!Q91</f>
        <v>0</v>
      </c>
      <c r="L102" s="5">
        <f>$D102*$E102*'Auction Results'!R91</f>
        <v>0</v>
      </c>
      <c r="M102" s="5">
        <f>$D102*$E102*'Auction Results'!S91</f>
        <v>0</v>
      </c>
      <c r="N102" s="5"/>
      <c r="P102" s="48">
        <f>'Auction Results'!K91*SUM(F102:M102)</f>
        <v>0</v>
      </c>
    </row>
    <row r="103" spans="1:16" x14ac:dyDescent="0.2">
      <c r="A103" s="43">
        <v>39995</v>
      </c>
      <c r="B103" s="43">
        <f>DATE(YEAR(A103),MONTH(A103)+'Auction Results'!F92,DAY(A103))</f>
        <v>40026</v>
      </c>
      <c r="C103" s="43"/>
      <c r="D103" s="5" t="b">
        <f t="shared" si="4"/>
        <v>0</v>
      </c>
      <c r="E103" s="5" t="b">
        <f>$B$5='Auction Results'!E92</f>
        <v>0</v>
      </c>
      <c r="F103" s="5">
        <f>$D103*$E103*'Auction Results'!L92</f>
        <v>0</v>
      </c>
      <c r="G103" s="5">
        <f>$D103*$E103*'Auction Results'!M92</f>
        <v>0</v>
      </c>
      <c r="H103" s="5">
        <f>$D103*$E103*'Auction Results'!N92</f>
        <v>0</v>
      </c>
      <c r="I103" s="5">
        <f>$D103*$E103*'Auction Results'!O92</f>
        <v>0</v>
      </c>
      <c r="J103" s="5">
        <f>$D103*$E103*'Auction Results'!P92</f>
        <v>0</v>
      </c>
      <c r="K103" s="5">
        <f>$D103*$E103*'Auction Results'!Q92</f>
        <v>0</v>
      </c>
      <c r="L103" s="5">
        <f>$D103*$E103*'Auction Results'!R92</f>
        <v>0</v>
      </c>
      <c r="M103" s="5">
        <f>$D103*$E103*'Auction Results'!S92</f>
        <v>0</v>
      </c>
      <c r="N103" s="5"/>
      <c r="P103" s="48">
        <f>'Auction Results'!K92*SUM(F103:M103)</f>
        <v>0</v>
      </c>
    </row>
    <row r="104" spans="1:16" x14ac:dyDescent="0.2">
      <c r="A104" s="43">
        <v>40087</v>
      </c>
      <c r="B104" s="43">
        <f>DATE(YEAR(A104),MONTH(A104)+'Auction Results'!F93,DAY(A104))</f>
        <v>40452</v>
      </c>
      <c r="C104" s="43"/>
      <c r="D104" s="5" t="b">
        <f t="shared" si="4"/>
        <v>0</v>
      </c>
      <c r="E104" s="5" t="b">
        <f>$B$5='Auction Results'!E93</f>
        <v>1</v>
      </c>
      <c r="F104" s="5">
        <f>$D104*$E104*'Auction Results'!L93</f>
        <v>0</v>
      </c>
      <c r="G104" s="5">
        <f>$D104*$E104*'Auction Results'!M93</f>
        <v>0</v>
      </c>
      <c r="H104" s="5">
        <f>$D104*$E104*'Auction Results'!N93</f>
        <v>0</v>
      </c>
      <c r="I104" s="5">
        <f>$D104*$E104*'Auction Results'!O93</f>
        <v>0</v>
      </c>
      <c r="J104" s="5">
        <f>$D104*$E104*'Auction Results'!P93</f>
        <v>0</v>
      </c>
      <c r="K104" s="5">
        <f>$D104*$E104*'Auction Results'!Q93</f>
        <v>0</v>
      </c>
      <c r="L104" s="5">
        <f>$D104*$E104*'Auction Results'!R93</f>
        <v>0</v>
      </c>
      <c r="M104" s="5">
        <f>$D104*$E104*'Auction Results'!S93</f>
        <v>0</v>
      </c>
      <c r="N104" s="5"/>
      <c r="P104" s="48">
        <f>'Auction Results'!K93*SUM(F104:M104)</f>
        <v>0</v>
      </c>
    </row>
    <row r="105" spans="1:16" x14ac:dyDescent="0.2">
      <c r="A105" s="43">
        <v>40452</v>
      </c>
      <c r="B105" s="43">
        <f>DATE(YEAR(A105),MONTH(A105)+'Auction Results'!F94,DAY(A105))</f>
        <v>40817</v>
      </c>
      <c r="C105" s="43"/>
      <c r="D105" s="5" t="b">
        <f t="shared" si="4"/>
        <v>1</v>
      </c>
      <c r="E105" s="5" t="b">
        <f>$B$5='Auction Results'!E94</f>
        <v>1</v>
      </c>
      <c r="F105" s="5">
        <f>$D105*$E105*'Auction Results'!L94</f>
        <v>0</v>
      </c>
      <c r="G105" s="5">
        <f>$D105*$E105*'Auction Results'!M94</f>
        <v>0</v>
      </c>
      <c r="H105" s="5">
        <f>$D105*$E105*'Auction Results'!N94</f>
        <v>0</v>
      </c>
      <c r="I105" s="5">
        <f>$D105*$E105*'Auction Results'!O94</f>
        <v>0</v>
      </c>
      <c r="J105" s="5">
        <f>$D105*$E105*'Auction Results'!P94</f>
        <v>30</v>
      </c>
      <c r="K105" s="5">
        <f>$D105*$E105*'Auction Results'!Q94</f>
        <v>0</v>
      </c>
      <c r="L105" s="5">
        <f>$D105*$E105*'Auction Results'!R94</f>
        <v>0</v>
      </c>
      <c r="M105" s="5">
        <f>$D105*$E105*'Auction Results'!S94</f>
        <v>0</v>
      </c>
      <c r="N105" s="5"/>
      <c r="P105" s="48">
        <f>'Auction Results'!K94*SUM(F105:M105)</f>
        <v>63030</v>
      </c>
    </row>
    <row r="106" spans="1:16" x14ac:dyDescent="0.2">
      <c r="A106" s="43">
        <v>40817</v>
      </c>
      <c r="B106" s="43">
        <f>DATE(YEAR(A106),MONTH(A106)+'Auction Results'!F95,DAY(A106))</f>
        <v>41183</v>
      </c>
      <c r="C106" s="43"/>
      <c r="D106" s="5" t="b">
        <f t="shared" si="4"/>
        <v>0</v>
      </c>
      <c r="E106" s="5" t="b">
        <f>$B$5='Auction Results'!E95</f>
        <v>1</v>
      </c>
      <c r="F106" s="5">
        <f>$D106*$E106*'Auction Results'!L95</f>
        <v>0</v>
      </c>
      <c r="G106" s="5">
        <f>$D106*$E106*'Auction Results'!M95</f>
        <v>0</v>
      </c>
      <c r="H106" s="5">
        <f>$D106*$E106*'Auction Results'!N95</f>
        <v>0</v>
      </c>
      <c r="I106" s="5">
        <f>$D106*$E106*'Auction Results'!O95</f>
        <v>0</v>
      </c>
      <c r="J106" s="5">
        <f>$D106*$E106*'Auction Results'!P95</f>
        <v>0</v>
      </c>
      <c r="K106" s="5">
        <f>$D106*$E106*'Auction Results'!Q95</f>
        <v>0</v>
      </c>
      <c r="L106" s="5">
        <f>$D106*$E106*'Auction Results'!R95</f>
        <v>0</v>
      </c>
      <c r="M106" s="5">
        <f>$D106*$E106*'Auction Results'!S95</f>
        <v>0</v>
      </c>
      <c r="N106" s="5"/>
      <c r="P106" s="48">
        <f>'Auction Results'!K95*SUM(F106:M106)</f>
        <v>0</v>
      </c>
    </row>
    <row r="107" spans="1:16" x14ac:dyDescent="0.2">
      <c r="A107" s="43">
        <v>40026</v>
      </c>
      <c r="B107" s="43">
        <f>DATE(YEAR(A107),MONTH(A107)+'Auction Results'!F96,DAY(A107))</f>
        <v>40057</v>
      </c>
      <c r="C107" s="43"/>
      <c r="D107" s="5" t="b">
        <f t="shared" si="4"/>
        <v>0</v>
      </c>
      <c r="E107" s="5" t="b">
        <f>$B$5='Auction Results'!E96</f>
        <v>1</v>
      </c>
      <c r="F107" s="5">
        <f>$D107*$E107*'Auction Results'!L96</f>
        <v>0</v>
      </c>
      <c r="G107" s="5">
        <f>$D107*$E107*'Auction Results'!M96</f>
        <v>0</v>
      </c>
      <c r="H107" s="5">
        <f>$D107*$E107*'Auction Results'!N96</f>
        <v>0</v>
      </c>
      <c r="I107" s="5">
        <f>$D107*$E107*'Auction Results'!O96</f>
        <v>0</v>
      </c>
      <c r="J107" s="5">
        <f>$D107*$E107*'Auction Results'!P96</f>
        <v>0</v>
      </c>
      <c r="K107" s="5">
        <f>$D107*$E107*'Auction Results'!Q96</f>
        <v>0</v>
      </c>
      <c r="L107" s="5">
        <f>$D107*$E107*'Auction Results'!R96</f>
        <v>0</v>
      </c>
      <c r="M107" s="5">
        <f>$D107*$E107*'Auction Results'!S96</f>
        <v>0</v>
      </c>
      <c r="N107" s="5"/>
      <c r="P107" s="48">
        <f>'Auction Results'!K96*SUM(F107:M107)</f>
        <v>0</v>
      </c>
    </row>
    <row r="108" spans="1:16" x14ac:dyDescent="0.2">
      <c r="A108" s="43">
        <v>40057</v>
      </c>
      <c r="B108" s="43">
        <f>DATE(YEAR(A108),MONTH(A108)+'Auction Results'!F97,DAY(A108))</f>
        <v>40087</v>
      </c>
      <c r="C108" s="43"/>
      <c r="D108" s="5" t="b">
        <f t="shared" si="4"/>
        <v>0</v>
      </c>
      <c r="E108" s="5" t="b">
        <f>$B$5='Auction Results'!E97</f>
        <v>1</v>
      </c>
      <c r="F108" s="5">
        <f>$D108*$E108*'Auction Results'!L97</f>
        <v>0</v>
      </c>
      <c r="G108" s="5">
        <f>$D108*$E108*'Auction Results'!M97</f>
        <v>0</v>
      </c>
      <c r="H108" s="5">
        <f>$D108*$E108*'Auction Results'!N97</f>
        <v>0</v>
      </c>
      <c r="I108" s="5">
        <f>$D108*$E108*'Auction Results'!O97</f>
        <v>0</v>
      </c>
      <c r="J108" s="5">
        <f>$D108*$E108*'Auction Results'!P97</f>
        <v>0</v>
      </c>
      <c r="K108" s="5">
        <f>$D108*$E108*'Auction Results'!Q97</f>
        <v>0</v>
      </c>
      <c r="L108" s="5">
        <f>$D108*$E108*'Auction Results'!R97</f>
        <v>0</v>
      </c>
      <c r="M108" s="5">
        <f>$D108*$E108*'Auction Results'!S97</f>
        <v>0</v>
      </c>
      <c r="N108" s="5"/>
      <c r="P108" s="48">
        <f>'Auction Results'!K97*SUM(F108:M108)</f>
        <v>0</v>
      </c>
    </row>
    <row r="109" spans="1:16" x14ac:dyDescent="0.2">
      <c r="A109" s="43">
        <v>40087</v>
      </c>
      <c r="B109" s="43">
        <f>DATE(YEAR(A109),MONTH(A109)+'Auction Results'!F98,DAY(A109))</f>
        <v>40452</v>
      </c>
      <c r="C109" s="43"/>
      <c r="D109" s="5" t="b">
        <f t="shared" si="4"/>
        <v>0</v>
      </c>
      <c r="E109" s="5" t="b">
        <f>$B$5='Auction Results'!E98</f>
        <v>1</v>
      </c>
      <c r="F109" s="5">
        <f>$D109*$E109*'Auction Results'!L98</f>
        <v>0</v>
      </c>
      <c r="G109" s="5">
        <f>$D109*$E109*'Auction Results'!M98</f>
        <v>0</v>
      </c>
      <c r="H109" s="5">
        <f>$D109*$E109*'Auction Results'!N98</f>
        <v>0</v>
      </c>
      <c r="I109" s="5">
        <f>$D109*$E109*'Auction Results'!O98</f>
        <v>0</v>
      </c>
      <c r="J109" s="5">
        <f>$D109*$E109*'Auction Results'!P98</f>
        <v>0</v>
      </c>
      <c r="K109" s="5">
        <f>$D109*$E109*'Auction Results'!Q98</f>
        <v>0</v>
      </c>
      <c r="L109" s="5">
        <f>$D109*$E109*'Auction Results'!R98</f>
        <v>0</v>
      </c>
      <c r="M109" s="5">
        <f>$D109*$E109*'Auction Results'!S98</f>
        <v>0</v>
      </c>
      <c r="N109" s="5"/>
      <c r="P109" s="48">
        <f>'Auction Results'!K98*SUM(F109:M109)</f>
        <v>0</v>
      </c>
    </row>
    <row r="110" spans="1:16" x14ac:dyDescent="0.2">
      <c r="A110" s="43">
        <v>40452</v>
      </c>
      <c r="B110" s="43">
        <f>DATE(YEAR(A110),MONTH(A110)+'Auction Results'!F99,DAY(A110))</f>
        <v>40817</v>
      </c>
      <c r="C110" s="43"/>
      <c r="D110" s="5" t="b">
        <f t="shared" ref="D110:D144" si="5">AND(A110&lt;=$B$2,B110&gt;=$B$3)</f>
        <v>1</v>
      </c>
      <c r="E110" s="5" t="b">
        <f>$B$5='Auction Results'!E99</f>
        <v>1</v>
      </c>
      <c r="F110" s="5">
        <f>$D110*$E110*'Auction Results'!L99</f>
        <v>0</v>
      </c>
      <c r="G110" s="5">
        <f>$D110*$E110*'Auction Results'!M99</f>
        <v>0</v>
      </c>
      <c r="H110" s="5">
        <f>$D110*$E110*'Auction Results'!N99</f>
        <v>10</v>
      </c>
      <c r="I110" s="5">
        <f>$D110*$E110*'Auction Results'!O99</f>
        <v>0</v>
      </c>
      <c r="J110" s="5">
        <f>$D110*$E110*'Auction Results'!P99</f>
        <v>10</v>
      </c>
      <c r="K110" s="5">
        <f>$D110*$E110*'Auction Results'!Q99</f>
        <v>0</v>
      </c>
      <c r="L110" s="5">
        <f>$D110*$E110*'Auction Results'!R99</f>
        <v>0</v>
      </c>
      <c r="M110" s="5">
        <f>$D110*$E110*'Auction Results'!S99</f>
        <v>0</v>
      </c>
      <c r="N110" s="5"/>
      <c r="P110" s="48">
        <f>'Auction Results'!K99*SUM(F110:M110)</f>
        <v>42100</v>
      </c>
    </row>
    <row r="111" spans="1:16" x14ac:dyDescent="0.2">
      <c r="A111" s="43">
        <v>40817</v>
      </c>
      <c r="B111" s="43">
        <f>DATE(YEAR(A111),MONTH(A111)+'Auction Results'!F100,DAY(A111))</f>
        <v>41183</v>
      </c>
      <c r="C111" s="43"/>
      <c r="D111" s="5" t="b">
        <f t="shared" si="5"/>
        <v>0</v>
      </c>
      <c r="E111" s="5" t="b">
        <f>$B$5='Auction Results'!E100</f>
        <v>1</v>
      </c>
      <c r="F111" s="5">
        <f>$D111*$E111*'Auction Results'!L100</f>
        <v>0</v>
      </c>
      <c r="G111" s="5">
        <f>$D111*$E111*'Auction Results'!M100</f>
        <v>0</v>
      </c>
      <c r="H111" s="5">
        <f>$D111*$E111*'Auction Results'!N100</f>
        <v>0</v>
      </c>
      <c r="I111" s="5">
        <f>$D111*$E111*'Auction Results'!O100</f>
        <v>0</v>
      </c>
      <c r="J111" s="5">
        <f>$D111*$E111*'Auction Results'!P100</f>
        <v>0</v>
      </c>
      <c r="K111" s="5">
        <f>$D111*$E111*'Auction Results'!Q100</f>
        <v>0</v>
      </c>
      <c r="L111" s="5">
        <f>$D111*$E111*'Auction Results'!R100</f>
        <v>0</v>
      </c>
      <c r="M111" s="5">
        <f>$D111*$E111*'Auction Results'!S100</f>
        <v>0</v>
      </c>
      <c r="N111" s="5"/>
      <c r="P111" s="48">
        <f>'Auction Results'!K100*SUM(F111:M111)</f>
        <v>0</v>
      </c>
    </row>
    <row r="112" spans="1:16" x14ac:dyDescent="0.2">
      <c r="A112" s="43">
        <v>40087</v>
      </c>
      <c r="B112" s="43">
        <f>DATE(YEAR(A112),MONTH(A112)+'Auction Results'!F101,DAY(A112))</f>
        <v>40118</v>
      </c>
      <c r="C112" s="43"/>
      <c r="D112" s="5" t="b">
        <f t="shared" si="5"/>
        <v>0</v>
      </c>
      <c r="E112" s="5" t="b">
        <f>$B$5='Auction Results'!E101</f>
        <v>1</v>
      </c>
      <c r="F112" s="5">
        <f>$D112*$E112*'Auction Results'!L101</f>
        <v>0</v>
      </c>
      <c r="G112" s="5">
        <f>$D112*$E112*'Auction Results'!M101</f>
        <v>0</v>
      </c>
      <c r="H112" s="5">
        <f>$D112*$E112*'Auction Results'!N101</f>
        <v>0</v>
      </c>
      <c r="I112" s="5">
        <f>$D112*$E112*'Auction Results'!O101</f>
        <v>0</v>
      </c>
      <c r="J112" s="5">
        <f>$D112*$E112*'Auction Results'!P101</f>
        <v>0</v>
      </c>
      <c r="K112" s="5">
        <f>$D112*$E112*'Auction Results'!Q101</f>
        <v>0</v>
      </c>
      <c r="L112" s="5">
        <f>$D112*$E112*'Auction Results'!R101</f>
        <v>0</v>
      </c>
      <c r="M112" s="5">
        <f>$D112*$E112*'Auction Results'!S101</f>
        <v>0</v>
      </c>
      <c r="N112" s="5"/>
      <c r="P112" s="48">
        <f>'Auction Results'!K101*SUM(F112:M112)</f>
        <v>0</v>
      </c>
    </row>
    <row r="113" spans="1:16" x14ac:dyDescent="0.2">
      <c r="A113" s="43">
        <v>40118</v>
      </c>
      <c r="B113" s="43">
        <f>DATE(YEAR(A113),MONTH(A113)+'Auction Results'!F102,DAY(A113))</f>
        <v>40148</v>
      </c>
      <c r="C113" s="43"/>
      <c r="D113" s="5" t="b">
        <f t="shared" si="5"/>
        <v>0</v>
      </c>
      <c r="E113" s="5" t="b">
        <f>$B$5='Auction Results'!E102</f>
        <v>1</v>
      </c>
      <c r="F113" s="5">
        <f>$D113*$E113*'Auction Results'!L102</f>
        <v>0</v>
      </c>
      <c r="G113" s="5">
        <f>$D113*$E113*'Auction Results'!M102</f>
        <v>0</v>
      </c>
      <c r="H113" s="5">
        <f>$D113*$E113*'Auction Results'!N102</f>
        <v>0</v>
      </c>
      <c r="I113" s="5">
        <f>$D113*$E113*'Auction Results'!O102</f>
        <v>0</v>
      </c>
      <c r="J113" s="5">
        <f>$D113*$E113*'Auction Results'!P102</f>
        <v>0</v>
      </c>
      <c r="K113" s="5">
        <f>$D113*$E113*'Auction Results'!Q102</f>
        <v>0</v>
      </c>
      <c r="L113" s="5">
        <f>$D113*$E113*'Auction Results'!R102</f>
        <v>0</v>
      </c>
      <c r="M113" s="5">
        <f>$D113*$E113*'Auction Results'!S102</f>
        <v>0</v>
      </c>
      <c r="N113" s="5"/>
      <c r="P113" s="48">
        <f>'Auction Results'!K102*SUM(F113:M113)</f>
        <v>0</v>
      </c>
    </row>
    <row r="114" spans="1:16" x14ac:dyDescent="0.2">
      <c r="A114" s="43">
        <v>40148</v>
      </c>
      <c r="B114" s="43">
        <f>DATE(YEAR(A114),MONTH(A114)+'Auction Results'!F103,DAY(A114))</f>
        <v>40179</v>
      </c>
      <c r="C114" s="43"/>
      <c r="D114" s="5" t="b">
        <f t="shared" si="5"/>
        <v>0</v>
      </c>
      <c r="E114" s="5" t="b">
        <f>$B$5='Auction Results'!E103</f>
        <v>1</v>
      </c>
      <c r="F114" s="5">
        <f>$D114*$E114*'Auction Results'!L103</f>
        <v>0</v>
      </c>
      <c r="G114" s="5">
        <f>$D114*$E114*'Auction Results'!M103</f>
        <v>0</v>
      </c>
      <c r="H114" s="5">
        <f>$D114*$E114*'Auction Results'!N103</f>
        <v>0</v>
      </c>
      <c r="I114" s="5">
        <f>$D114*$E114*'Auction Results'!O103</f>
        <v>0</v>
      </c>
      <c r="J114" s="5">
        <f>$D114*$E114*'Auction Results'!P103</f>
        <v>0</v>
      </c>
      <c r="K114" s="5">
        <f>$D114*$E114*'Auction Results'!Q103</f>
        <v>0</v>
      </c>
      <c r="L114" s="5">
        <f>$D114*$E114*'Auction Results'!R103</f>
        <v>0</v>
      </c>
      <c r="M114" s="5">
        <f>$D114*$E114*'Auction Results'!S103</f>
        <v>0</v>
      </c>
      <c r="N114" s="5"/>
      <c r="P114" s="48">
        <f>'Auction Results'!K103*SUM(F114:M114)</f>
        <v>0</v>
      </c>
    </row>
    <row r="115" spans="1:16" x14ac:dyDescent="0.2">
      <c r="A115" s="43">
        <v>40148</v>
      </c>
      <c r="B115" s="43">
        <f>DATE(YEAR(A115),MONTH(A115)+'Auction Results'!F104,DAY(A115))</f>
        <v>40179</v>
      </c>
      <c r="C115" s="43"/>
      <c r="D115" s="5" t="b">
        <f t="shared" si="5"/>
        <v>0</v>
      </c>
      <c r="E115" s="5" t="b">
        <f>$B$5='Auction Results'!E104</f>
        <v>1</v>
      </c>
      <c r="F115" s="5">
        <f>$D115*$E115*'Auction Results'!L104</f>
        <v>0</v>
      </c>
      <c r="G115" s="5">
        <f>$D115*$E115*'Auction Results'!M104</f>
        <v>0</v>
      </c>
      <c r="H115" s="5">
        <f>$D115*$E115*'Auction Results'!N104</f>
        <v>0</v>
      </c>
      <c r="I115" s="5">
        <f>$D115*$E115*'Auction Results'!O104</f>
        <v>0</v>
      </c>
      <c r="J115" s="5">
        <f>$D115*$E115*'Auction Results'!P104</f>
        <v>0</v>
      </c>
      <c r="K115" s="5">
        <f>$D115*$E115*'Auction Results'!Q104</f>
        <v>0</v>
      </c>
      <c r="L115" s="5">
        <f>$D115*$E115*'Auction Results'!R104</f>
        <v>0</v>
      </c>
      <c r="M115" s="5">
        <f>$D115*$E115*'Auction Results'!S104</f>
        <v>0</v>
      </c>
      <c r="N115" s="5"/>
      <c r="P115" s="48">
        <f>'Auction Results'!K104*SUM(F115:M115)</f>
        <v>0</v>
      </c>
    </row>
    <row r="116" spans="1:16" x14ac:dyDescent="0.2">
      <c r="A116" s="43">
        <v>40179</v>
      </c>
      <c r="B116" s="43">
        <f>DATE(YEAR(A116),MONTH(A116)+'Auction Results'!F105,DAY(A116))</f>
        <v>40210</v>
      </c>
      <c r="C116" s="43"/>
      <c r="D116" s="5" t="b">
        <f t="shared" si="5"/>
        <v>0</v>
      </c>
      <c r="E116" s="5" t="b">
        <f>$B$5='Auction Results'!E105</f>
        <v>1</v>
      </c>
      <c r="F116" s="5">
        <f>$D116*$E116*'Auction Results'!L105</f>
        <v>0</v>
      </c>
      <c r="G116" s="5">
        <f>$D116*$E116*'Auction Results'!M105</f>
        <v>0</v>
      </c>
      <c r="H116" s="5">
        <f>$D116*$E116*'Auction Results'!N105</f>
        <v>0</v>
      </c>
      <c r="I116" s="5">
        <f>$D116*$E116*'Auction Results'!O105</f>
        <v>0</v>
      </c>
      <c r="J116" s="5">
        <f>$D116*$E116*'Auction Results'!P105</f>
        <v>0</v>
      </c>
      <c r="K116" s="5">
        <f>$D116*$E116*'Auction Results'!Q105</f>
        <v>0</v>
      </c>
      <c r="L116" s="5">
        <f>$D116*$E116*'Auction Results'!R105</f>
        <v>0</v>
      </c>
      <c r="M116" s="5">
        <f>$D116*$E116*'Auction Results'!S105</f>
        <v>0</v>
      </c>
      <c r="N116" s="5"/>
      <c r="P116" s="48">
        <f>'Auction Results'!K105*SUM(F116:M116)</f>
        <v>0</v>
      </c>
    </row>
    <row r="117" spans="1:16" x14ac:dyDescent="0.2">
      <c r="A117" s="43">
        <v>40179</v>
      </c>
      <c r="B117" s="43">
        <f>DATE(YEAR(A117),MONTH(A117)+'Auction Results'!F106,DAY(A117))</f>
        <v>40210</v>
      </c>
      <c r="C117" s="43"/>
      <c r="D117" s="5" t="b">
        <f t="shared" si="5"/>
        <v>0</v>
      </c>
      <c r="E117" s="5" t="b">
        <f>$B$5='Auction Results'!E106</f>
        <v>0</v>
      </c>
      <c r="F117" s="5">
        <f>$D117*$E117*'Auction Results'!L106</f>
        <v>0</v>
      </c>
      <c r="G117" s="5">
        <f>$D117*$E117*'Auction Results'!M106</f>
        <v>0</v>
      </c>
      <c r="H117" s="5">
        <f>$D117*$E117*'Auction Results'!N106</f>
        <v>0</v>
      </c>
      <c r="I117" s="5">
        <f>$D117*$E117*'Auction Results'!O106</f>
        <v>0</v>
      </c>
      <c r="J117" s="5">
        <f>$D117*$E117*'Auction Results'!P106</f>
        <v>0</v>
      </c>
      <c r="K117" s="5">
        <f>$D117*$E117*'Auction Results'!Q106</f>
        <v>0</v>
      </c>
      <c r="L117" s="5">
        <f>$D117*$E117*'Auction Results'!R106</f>
        <v>0</v>
      </c>
      <c r="M117" s="5">
        <f>$D117*$E117*'Auction Results'!S106</f>
        <v>0</v>
      </c>
      <c r="N117" s="5"/>
      <c r="P117" s="48">
        <f>'Auction Results'!K106*SUM(F117:M117)</f>
        <v>0</v>
      </c>
    </row>
    <row r="118" spans="1:16" x14ac:dyDescent="0.2">
      <c r="A118" s="43">
        <v>40210</v>
      </c>
      <c r="B118" s="43">
        <f>DATE(YEAR(A118),MONTH(A118)+'Auction Results'!F107,DAY(A118))</f>
        <v>40238</v>
      </c>
      <c r="C118" s="43"/>
      <c r="D118" s="5" t="b">
        <f t="shared" si="5"/>
        <v>0</v>
      </c>
      <c r="E118" s="5" t="b">
        <f>$B$5='Auction Results'!E107</f>
        <v>1</v>
      </c>
      <c r="F118" s="5">
        <f>$D118*$E118*'Auction Results'!L107</f>
        <v>0</v>
      </c>
      <c r="G118" s="5">
        <f>$D118*$E118*'Auction Results'!M107</f>
        <v>0</v>
      </c>
      <c r="H118" s="5">
        <f>$D118*$E118*'Auction Results'!N107</f>
        <v>0</v>
      </c>
      <c r="I118" s="5">
        <f>$D118*$E118*'Auction Results'!O107</f>
        <v>0</v>
      </c>
      <c r="J118" s="5">
        <f>$D118*$E118*'Auction Results'!P107</f>
        <v>0</v>
      </c>
      <c r="K118" s="5">
        <f>$D118*$E118*'Auction Results'!Q107</f>
        <v>0</v>
      </c>
      <c r="L118" s="5">
        <f>$D118*$E118*'Auction Results'!R107</f>
        <v>0</v>
      </c>
      <c r="M118" s="5">
        <f>$D118*$E118*'Auction Results'!S107</f>
        <v>0</v>
      </c>
      <c r="N118" s="5"/>
      <c r="P118" s="48">
        <f>'Auction Results'!K107*SUM(F118:M118)</f>
        <v>0</v>
      </c>
    </row>
    <row r="119" spans="1:16" x14ac:dyDescent="0.2">
      <c r="A119" s="43">
        <v>40210</v>
      </c>
      <c r="B119" s="43">
        <f>DATE(YEAR(A119),MONTH(A119)+'Auction Results'!F108,DAY(A119))</f>
        <v>40238</v>
      </c>
      <c r="C119" s="43"/>
      <c r="D119" s="5" t="b">
        <f t="shared" si="5"/>
        <v>0</v>
      </c>
      <c r="E119" s="5" t="b">
        <f>$B$5='Auction Results'!E108</f>
        <v>0</v>
      </c>
      <c r="F119" s="5">
        <f>$D119*$E119*'Auction Results'!L108</f>
        <v>0</v>
      </c>
      <c r="G119" s="5">
        <f>$D119*$E119*'Auction Results'!M108</f>
        <v>0</v>
      </c>
      <c r="H119" s="5">
        <f>$D119*$E119*'Auction Results'!N108</f>
        <v>0</v>
      </c>
      <c r="I119" s="5">
        <f>$D119*$E119*'Auction Results'!O108</f>
        <v>0</v>
      </c>
      <c r="J119" s="5">
        <f>$D119*$E119*'Auction Results'!P108</f>
        <v>0</v>
      </c>
      <c r="K119" s="5">
        <f>$D119*$E119*'Auction Results'!Q108</f>
        <v>0</v>
      </c>
      <c r="L119" s="5">
        <f>$D119*$E119*'Auction Results'!R108</f>
        <v>0</v>
      </c>
      <c r="M119" s="5">
        <f>$D119*$E119*'Auction Results'!S108</f>
        <v>0</v>
      </c>
      <c r="N119" s="5"/>
      <c r="P119" s="48">
        <f>'Auction Results'!K108*SUM(F119:M119)</f>
        <v>0</v>
      </c>
    </row>
    <row r="120" spans="1:16" x14ac:dyDescent="0.2">
      <c r="A120" s="43">
        <v>40238</v>
      </c>
      <c r="B120" s="43">
        <f>DATE(YEAR(A120),MONTH(A120)+'Auction Results'!F109,DAY(A120))</f>
        <v>40269</v>
      </c>
      <c r="C120" s="43"/>
      <c r="D120" s="5" t="b">
        <f t="shared" si="5"/>
        <v>0</v>
      </c>
      <c r="E120" s="5" t="b">
        <f>$B$5='Auction Results'!E109</f>
        <v>1</v>
      </c>
      <c r="F120" s="5">
        <f>$D120*$E120*'Auction Results'!L109</f>
        <v>0</v>
      </c>
      <c r="G120" s="5">
        <f>$D120*$E120*'Auction Results'!M109</f>
        <v>0</v>
      </c>
      <c r="H120" s="5">
        <f>$D120*$E120*'Auction Results'!N109</f>
        <v>0</v>
      </c>
      <c r="I120" s="5">
        <f>$D120*$E120*'Auction Results'!O109</f>
        <v>0</v>
      </c>
      <c r="J120" s="5">
        <f>$D120*$E120*'Auction Results'!P109</f>
        <v>0</v>
      </c>
      <c r="K120" s="5">
        <f>$D120*$E120*'Auction Results'!Q109</f>
        <v>0</v>
      </c>
      <c r="L120" s="5">
        <f>$D120*$E120*'Auction Results'!R109</f>
        <v>0</v>
      </c>
      <c r="M120" s="5">
        <f>$D120*$E120*'Auction Results'!S109</f>
        <v>0</v>
      </c>
      <c r="N120" s="5"/>
      <c r="P120" s="48">
        <f>'Auction Results'!K109*SUM(F120:M120)</f>
        <v>0</v>
      </c>
    </row>
    <row r="121" spans="1:16" x14ac:dyDescent="0.2">
      <c r="A121" s="43">
        <v>40238</v>
      </c>
      <c r="B121" s="43">
        <f>DATE(YEAR(A121),MONTH(A121)+'Auction Results'!F110,DAY(A121))</f>
        <v>40269</v>
      </c>
      <c r="C121" s="43"/>
      <c r="D121" s="5" t="b">
        <f t="shared" si="5"/>
        <v>0</v>
      </c>
      <c r="E121" s="5" t="b">
        <f>$B$5='Auction Results'!E110</f>
        <v>0</v>
      </c>
      <c r="F121" s="5">
        <f>$D121*$E121*'Auction Results'!L110</f>
        <v>0</v>
      </c>
      <c r="G121" s="5">
        <f>$D121*$E121*'Auction Results'!M110</f>
        <v>0</v>
      </c>
      <c r="H121" s="5">
        <f>$D121*$E121*'Auction Results'!N110</f>
        <v>0</v>
      </c>
      <c r="I121" s="5">
        <f>$D121*$E121*'Auction Results'!O110</f>
        <v>0</v>
      </c>
      <c r="J121" s="5">
        <f>$D121*$E121*'Auction Results'!P110</f>
        <v>0</v>
      </c>
      <c r="K121" s="5">
        <f>$D121*$E121*'Auction Results'!Q110</f>
        <v>0</v>
      </c>
      <c r="L121" s="5">
        <f>$D121*$E121*'Auction Results'!R110</f>
        <v>0</v>
      </c>
      <c r="M121" s="5">
        <f>$D121*$E121*'Auction Results'!S110</f>
        <v>0</v>
      </c>
      <c r="N121" s="5"/>
      <c r="P121" s="48">
        <f>'Auction Results'!K110*SUM(F121:M121)</f>
        <v>0</v>
      </c>
    </row>
    <row r="122" spans="1:16" x14ac:dyDescent="0.2">
      <c r="A122" s="43">
        <v>40269</v>
      </c>
      <c r="B122" s="43">
        <f>DATE(YEAR(A122),MONTH(A122)+'Auction Results'!F111,DAY(A122))</f>
        <v>40299</v>
      </c>
      <c r="C122" s="43"/>
      <c r="D122" s="5" t="b">
        <f t="shared" si="5"/>
        <v>0</v>
      </c>
      <c r="E122" s="5" t="b">
        <f>$B$5='Auction Results'!E111</f>
        <v>1</v>
      </c>
      <c r="F122" s="5">
        <f>$D122*$E122*'Auction Results'!L111</f>
        <v>0</v>
      </c>
      <c r="G122" s="5">
        <f>$D122*$E122*'Auction Results'!M111</f>
        <v>0</v>
      </c>
      <c r="H122" s="5">
        <f>$D122*$E122*'Auction Results'!N111</f>
        <v>0</v>
      </c>
      <c r="I122" s="5">
        <f>$D122*$E122*'Auction Results'!O111</f>
        <v>0</v>
      </c>
      <c r="J122" s="5">
        <f>$D122*$E122*'Auction Results'!P111</f>
        <v>0</v>
      </c>
      <c r="K122" s="5">
        <f>$D122*$E122*'Auction Results'!Q111</f>
        <v>0</v>
      </c>
      <c r="L122" s="5">
        <f>$D122*$E122*'Auction Results'!R111</f>
        <v>0</v>
      </c>
      <c r="M122" s="5">
        <f>$D122*$E122*'Auction Results'!S111</f>
        <v>0</v>
      </c>
      <c r="N122" s="5"/>
      <c r="P122" s="48">
        <f>'Auction Results'!K111*SUM(F122:M122)</f>
        <v>0</v>
      </c>
    </row>
    <row r="123" spans="1:16" x14ac:dyDescent="0.2">
      <c r="A123" s="43">
        <v>40269</v>
      </c>
      <c r="B123" s="43">
        <f>DATE(YEAR(A123),MONTH(A123)+'Auction Results'!F112,DAY(A123))</f>
        <v>40299</v>
      </c>
      <c r="C123" s="43"/>
      <c r="D123" s="5" t="b">
        <f t="shared" si="5"/>
        <v>0</v>
      </c>
      <c r="E123" s="5" t="b">
        <f>$B$5='Auction Results'!E112</f>
        <v>0</v>
      </c>
      <c r="F123" s="5">
        <f>$D123*$E123*'Auction Results'!L112</f>
        <v>0</v>
      </c>
      <c r="G123" s="5">
        <f>$D123*$E123*'Auction Results'!M112</f>
        <v>0</v>
      </c>
      <c r="H123" s="5">
        <f>$D123*$E123*'Auction Results'!N112</f>
        <v>0</v>
      </c>
      <c r="I123" s="5">
        <f>$D123*$E123*'Auction Results'!O112</f>
        <v>0</v>
      </c>
      <c r="J123" s="5">
        <f>$D123*$E123*'Auction Results'!P112</f>
        <v>0</v>
      </c>
      <c r="K123" s="5">
        <f>$D123*$E123*'Auction Results'!Q112</f>
        <v>0</v>
      </c>
      <c r="L123" s="5">
        <f>$D123*$E123*'Auction Results'!R112</f>
        <v>0</v>
      </c>
      <c r="M123" s="5">
        <f>$D123*$E123*'Auction Results'!S112</f>
        <v>0</v>
      </c>
      <c r="N123" s="5"/>
      <c r="P123" s="48">
        <f>'Auction Results'!K112*SUM(F123:M123)</f>
        <v>0</v>
      </c>
    </row>
    <row r="124" spans="1:16" x14ac:dyDescent="0.2">
      <c r="A124" s="43">
        <v>40299</v>
      </c>
      <c r="B124" s="43">
        <f>DATE(YEAR(A124),MONTH(A124)+'Auction Results'!F113,DAY(A124))</f>
        <v>40330</v>
      </c>
      <c r="C124" s="43"/>
      <c r="D124" s="5" t="b">
        <f t="shared" si="5"/>
        <v>0</v>
      </c>
      <c r="E124" s="5" t="b">
        <f>$B$5='Auction Results'!E113</f>
        <v>1</v>
      </c>
      <c r="F124" s="5">
        <f>$D124*$E124*'Auction Results'!L113</f>
        <v>0</v>
      </c>
      <c r="G124" s="5">
        <f>$D124*$E124*'Auction Results'!M113</f>
        <v>0</v>
      </c>
      <c r="H124" s="5">
        <f>$D124*$E124*'Auction Results'!N113</f>
        <v>0</v>
      </c>
      <c r="I124" s="5">
        <f>$D124*$E124*'Auction Results'!O113</f>
        <v>0</v>
      </c>
      <c r="J124" s="5">
        <f>$D124*$E124*'Auction Results'!P113</f>
        <v>0</v>
      </c>
      <c r="K124" s="5">
        <f>$D124*$E124*'Auction Results'!Q113</f>
        <v>0</v>
      </c>
      <c r="L124" s="5">
        <f>$D124*$E124*'Auction Results'!R113</f>
        <v>0</v>
      </c>
      <c r="M124" s="5">
        <f>$D124*$E124*'Auction Results'!S113</f>
        <v>0</v>
      </c>
      <c r="N124" s="5"/>
      <c r="P124" s="48">
        <f>'Auction Results'!K113*SUM(F124:M124)</f>
        <v>0</v>
      </c>
    </row>
    <row r="125" spans="1:16" x14ac:dyDescent="0.2">
      <c r="A125" s="43">
        <v>40452</v>
      </c>
      <c r="B125" s="43">
        <f>DATE(YEAR(A125),MONTH(A125)+'Auction Results'!F114,DAY(A125))</f>
        <v>40817</v>
      </c>
      <c r="C125" s="43"/>
      <c r="D125" s="5" t="b">
        <f t="shared" si="5"/>
        <v>1</v>
      </c>
      <c r="E125" s="5" t="b">
        <f>$B$5='Auction Results'!E114</f>
        <v>1</v>
      </c>
      <c r="F125" s="5">
        <f>$D125*$E125*'Auction Results'!L114</f>
        <v>40</v>
      </c>
      <c r="G125" s="5">
        <f>$D125*$E125*'Auction Results'!M114</f>
        <v>0</v>
      </c>
      <c r="H125" s="5">
        <f>$D125*$E125*'Auction Results'!N114</f>
        <v>0</v>
      </c>
      <c r="I125" s="5">
        <f>$D125*$E125*'Auction Results'!O114</f>
        <v>0</v>
      </c>
      <c r="J125" s="5">
        <f>$D125*$E125*'Auction Results'!P114</f>
        <v>50</v>
      </c>
      <c r="K125" s="5">
        <f>$D125*$E125*'Auction Results'!Q114</f>
        <v>0</v>
      </c>
      <c r="L125" s="5">
        <f>$D125*$E125*'Auction Results'!R114</f>
        <v>0</v>
      </c>
      <c r="M125" s="5">
        <f>$D125*$E125*'Auction Results'!S114</f>
        <v>0</v>
      </c>
      <c r="N125" s="5"/>
      <c r="P125" s="48">
        <f>'Auction Results'!K114*SUM(F125:M125)</f>
        <v>273965.40000000002</v>
      </c>
    </row>
    <row r="126" spans="1:16" x14ac:dyDescent="0.2">
      <c r="A126" s="43">
        <v>40817</v>
      </c>
      <c r="B126" s="43">
        <f>DATE(YEAR(A126),MONTH(A126)+'Auction Results'!F115,DAY(A126))</f>
        <v>41183</v>
      </c>
      <c r="C126" s="43"/>
      <c r="D126" s="5" t="b">
        <f t="shared" si="5"/>
        <v>0</v>
      </c>
      <c r="E126" s="5" t="b">
        <f>$B$5='Auction Results'!E115</f>
        <v>1</v>
      </c>
      <c r="F126" s="5">
        <f>$D126*$E126*'Auction Results'!L115</f>
        <v>0</v>
      </c>
      <c r="G126" s="5">
        <f>$D126*$E126*'Auction Results'!M115</f>
        <v>0</v>
      </c>
      <c r="H126" s="5">
        <f>$D126*$E126*'Auction Results'!N115</f>
        <v>0</v>
      </c>
      <c r="I126" s="5">
        <f>$D126*$E126*'Auction Results'!O115</f>
        <v>0</v>
      </c>
      <c r="J126" s="5">
        <f>$D126*$E126*'Auction Results'!P115</f>
        <v>0</v>
      </c>
      <c r="K126" s="5">
        <f>$D126*$E126*'Auction Results'!Q115</f>
        <v>0</v>
      </c>
      <c r="L126" s="5">
        <f>$D126*$E126*'Auction Results'!R115</f>
        <v>0</v>
      </c>
      <c r="M126" s="5">
        <f>$D126*$E126*'Auction Results'!S115</f>
        <v>0</v>
      </c>
      <c r="N126" s="5"/>
      <c r="P126" s="48">
        <f>'Auction Results'!K115*SUM(F126:M126)</f>
        <v>0</v>
      </c>
    </row>
    <row r="127" spans="1:16" x14ac:dyDescent="0.2">
      <c r="A127" s="43">
        <v>41183</v>
      </c>
      <c r="B127" s="43">
        <f>DATE(YEAR(A127),MONTH(A127)+'Auction Results'!F116,DAY(A127))</f>
        <v>41548</v>
      </c>
      <c r="C127" s="43"/>
      <c r="D127" s="5" t="b">
        <f t="shared" si="5"/>
        <v>0</v>
      </c>
      <c r="E127" s="5" t="b">
        <f>$B$5='Auction Results'!E116</f>
        <v>1</v>
      </c>
      <c r="F127" s="5">
        <f>$D127*$E127*'Auction Results'!L116</f>
        <v>0</v>
      </c>
      <c r="G127" s="5">
        <f>$D127*$E127*'Auction Results'!M116</f>
        <v>0</v>
      </c>
      <c r="H127" s="5">
        <f>$D127*$E127*'Auction Results'!N116</f>
        <v>0</v>
      </c>
      <c r="I127" s="5">
        <f>$D127*$E127*'Auction Results'!O116</f>
        <v>0</v>
      </c>
      <c r="J127" s="5">
        <f>$D127*$E127*'Auction Results'!P116</f>
        <v>0</v>
      </c>
      <c r="K127" s="5">
        <f>$D127*$E127*'Auction Results'!Q116</f>
        <v>0</v>
      </c>
      <c r="L127" s="5">
        <f>$D127*$E127*'Auction Results'!R116</f>
        <v>0</v>
      </c>
      <c r="M127" s="5">
        <f>$D127*$E127*'Auction Results'!S116</f>
        <v>0</v>
      </c>
      <c r="N127" s="5"/>
      <c r="P127" s="48">
        <f>'Auction Results'!K116*SUM(F127:M127)</f>
        <v>0</v>
      </c>
    </row>
    <row r="128" spans="1:16" x14ac:dyDescent="0.2">
      <c r="A128" s="43">
        <v>40330</v>
      </c>
      <c r="B128" s="43">
        <f>DATE(YEAR(A128),MONTH(A128)+'Auction Results'!F117,DAY(A128))</f>
        <v>40360</v>
      </c>
      <c r="C128" s="43"/>
      <c r="D128" s="5" t="b">
        <f t="shared" si="5"/>
        <v>0</v>
      </c>
      <c r="E128" s="5" t="b">
        <f>$B$5='Auction Results'!E117</f>
        <v>0</v>
      </c>
      <c r="F128" s="5">
        <f>$D128*$E128*'Auction Results'!L117</f>
        <v>0</v>
      </c>
      <c r="G128" s="5">
        <f>$D128*$E128*'Auction Results'!M117</f>
        <v>0</v>
      </c>
      <c r="H128" s="5">
        <f>$D128*$E128*'Auction Results'!N117</f>
        <v>0</v>
      </c>
      <c r="I128" s="5">
        <f>$D128*$E128*'Auction Results'!O117</f>
        <v>0</v>
      </c>
      <c r="J128" s="5">
        <f>$D128*$E128*'Auction Results'!P117</f>
        <v>0</v>
      </c>
      <c r="K128" s="5">
        <f>$D128*$E128*'Auction Results'!Q117</f>
        <v>0</v>
      </c>
      <c r="L128" s="5">
        <f>$D128*$E128*'Auction Results'!R117</f>
        <v>0</v>
      </c>
      <c r="M128" s="5">
        <f>$D128*$E128*'Auction Results'!S117</f>
        <v>0</v>
      </c>
      <c r="N128" s="5"/>
      <c r="P128" s="48">
        <f>'Auction Results'!K117*SUM(F128:M128)</f>
        <v>0</v>
      </c>
    </row>
    <row r="129" spans="1:16" x14ac:dyDescent="0.2">
      <c r="A129" s="43">
        <v>40330</v>
      </c>
      <c r="B129" s="43">
        <f>DATE(YEAR(A129),MONTH(A129)+'Auction Results'!F118,DAY(A129))</f>
        <v>40360</v>
      </c>
      <c r="C129" s="43"/>
      <c r="D129" s="5" t="b">
        <f t="shared" si="5"/>
        <v>0</v>
      </c>
      <c r="E129" s="5" t="b">
        <f>$B$5='Auction Results'!E118</f>
        <v>1</v>
      </c>
      <c r="F129" s="5">
        <f>$D129*$E129*'Auction Results'!L118</f>
        <v>0</v>
      </c>
      <c r="G129" s="5">
        <f>$D129*$E129*'Auction Results'!M118</f>
        <v>0</v>
      </c>
      <c r="H129" s="5">
        <f>$D129*$E129*'Auction Results'!N118</f>
        <v>0</v>
      </c>
      <c r="I129" s="5">
        <f>$D129*$E129*'Auction Results'!O118</f>
        <v>0</v>
      </c>
      <c r="J129" s="5">
        <f>$D129*$E129*'Auction Results'!P118</f>
        <v>0</v>
      </c>
      <c r="K129" s="5">
        <f>$D129*$E129*'Auction Results'!Q118</f>
        <v>0</v>
      </c>
      <c r="L129" s="5">
        <f>$D129*$E129*'Auction Results'!R118</f>
        <v>0</v>
      </c>
      <c r="M129" s="5">
        <f>$D129*$E129*'Auction Results'!S118</f>
        <v>0</v>
      </c>
      <c r="N129" s="5"/>
      <c r="P129" s="48">
        <f>'Auction Results'!K118*SUM(F129:M129)</f>
        <v>0</v>
      </c>
    </row>
    <row r="130" spans="1:16" x14ac:dyDescent="0.2">
      <c r="A130" s="43">
        <v>40452</v>
      </c>
      <c r="B130" s="43">
        <f>DATE(YEAR(A130),MONTH(A130)+'Auction Results'!F119,DAY(A130))</f>
        <v>40817</v>
      </c>
      <c r="C130" s="43"/>
      <c r="D130" s="5" t="b">
        <f t="shared" si="5"/>
        <v>1</v>
      </c>
      <c r="E130" s="5" t="b">
        <f>$B$5='Auction Results'!E119</f>
        <v>1</v>
      </c>
      <c r="F130" s="5">
        <f>$D130*$E130*'Auction Results'!L119</f>
        <v>5</v>
      </c>
      <c r="G130" s="5">
        <f>$D130*$E130*'Auction Results'!M119</f>
        <v>0</v>
      </c>
      <c r="H130" s="5">
        <f>$D130*$E130*'Auction Results'!N119</f>
        <v>0</v>
      </c>
      <c r="I130" s="5">
        <f>$D130*$E130*'Auction Results'!O119</f>
        <v>0</v>
      </c>
      <c r="J130" s="5">
        <f>$D130*$E130*'Auction Results'!P119</f>
        <v>65</v>
      </c>
      <c r="K130" s="5">
        <f>$D130*$E130*'Auction Results'!Q119</f>
        <v>0</v>
      </c>
      <c r="L130" s="5">
        <f>$D130*$E130*'Auction Results'!R119</f>
        <v>0</v>
      </c>
      <c r="M130" s="5">
        <f>$D130*$E130*'Auction Results'!S119</f>
        <v>20</v>
      </c>
      <c r="N130" s="5"/>
      <c r="P130" s="48">
        <f>'Auction Results'!K119*SUM(F130:M130)</f>
        <v>317799.90000000002</v>
      </c>
    </row>
    <row r="131" spans="1:16" x14ac:dyDescent="0.2">
      <c r="A131" s="43">
        <v>40817</v>
      </c>
      <c r="B131" s="43">
        <f>DATE(YEAR(A131),MONTH(A131)+'Auction Results'!F120,DAY(A131))</f>
        <v>41183</v>
      </c>
      <c r="C131" s="43"/>
      <c r="D131" s="5" t="b">
        <f t="shared" si="5"/>
        <v>0</v>
      </c>
      <c r="E131" s="5" t="b">
        <f>$B$5='Auction Results'!E120</f>
        <v>1</v>
      </c>
      <c r="F131" s="5">
        <f>$D131*$E131*'Auction Results'!L120</f>
        <v>0</v>
      </c>
      <c r="G131" s="5">
        <f>$D131*$E131*'Auction Results'!M120</f>
        <v>0</v>
      </c>
      <c r="H131" s="5">
        <f>$D131*$E131*'Auction Results'!N120</f>
        <v>0</v>
      </c>
      <c r="I131" s="5">
        <f>$D131*$E131*'Auction Results'!O120</f>
        <v>0</v>
      </c>
      <c r="J131" s="5">
        <f>$D131*$E131*'Auction Results'!P120</f>
        <v>0</v>
      </c>
      <c r="K131" s="5">
        <f>$D131*$E131*'Auction Results'!Q120</f>
        <v>0</v>
      </c>
      <c r="L131" s="5">
        <f>$D131*$E131*'Auction Results'!R120</f>
        <v>0</v>
      </c>
      <c r="M131" s="5">
        <f>$D131*$E131*'Auction Results'!S120</f>
        <v>0</v>
      </c>
      <c r="N131" s="5"/>
      <c r="P131" s="48">
        <f>'Auction Results'!K120*SUM(F131:M131)</f>
        <v>0</v>
      </c>
    </row>
    <row r="132" spans="1:16" x14ac:dyDescent="0.2">
      <c r="A132" s="43">
        <v>41183</v>
      </c>
      <c r="B132" s="43">
        <f>DATE(YEAR(A132),MONTH(A132)+'Auction Results'!F121,DAY(A132))</f>
        <v>41548</v>
      </c>
      <c r="C132" s="43"/>
      <c r="D132" s="5" t="b">
        <f t="shared" si="5"/>
        <v>0</v>
      </c>
      <c r="E132" s="5" t="b">
        <f>$B$5='Auction Results'!E121</f>
        <v>1</v>
      </c>
      <c r="F132" s="5">
        <f>$D132*$E132*'Auction Results'!L121</f>
        <v>0</v>
      </c>
      <c r="G132" s="5">
        <f>$D132*$E132*'Auction Results'!M121</f>
        <v>0</v>
      </c>
      <c r="H132" s="5">
        <f>$D132*$E132*'Auction Results'!N121</f>
        <v>0</v>
      </c>
      <c r="I132" s="5">
        <f>$D132*$E132*'Auction Results'!O121</f>
        <v>0</v>
      </c>
      <c r="J132" s="5">
        <f>$D132*$E132*'Auction Results'!P121</f>
        <v>0</v>
      </c>
      <c r="K132" s="5">
        <f>$D132*$E132*'Auction Results'!Q121</f>
        <v>0</v>
      </c>
      <c r="L132" s="5">
        <f>$D132*$E132*'Auction Results'!R121</f>
        <v>0</v>
      </c>
      <c r="M132" s="5">
        <f>$D132*$E132*'Auction Results'!S121</f>
        <v>0</v>
      </c>
      <c r="N132" s="5"/>
      <c r="P132" s="48">
        <f>'Auction Results'!K121*SUM(F132:M132)</f>
        <v>0</v>
      </c>
    </row>
    <row r="133" spans="1:16" x14ac:dyDescent="0.2">
      <c r="A133" s="43">
        <v>40360</v>
      </c>
      <c r="B133" s="43">
        <f>DATE(YEAR(A133),MONTH(A133)+'Auction Results'!F122,DAY(A133))</f>
        <v>40391</v>
      </c>
      <c r="C133" s="43"/>
      <c r="D133" s="5" t="b">
        <f t="shared" si="5"/>
        <v>0</v>
      </c>
      <c r="E133" s="5" t="b">
        <f>$B$5='Auction Results'!E122</f>
        <v>0</v>
      </c>
      <c r="F133" s="5">
        <f>$D133*$E133*'Auction Results'!L122</f>
        <v>0</v>
      </c>
      <c r="G133" s="5">
        <f>$D133*$E133*'Auction Results'!M122</f>
        <v>0</v>
      </c>
      <c r="H133" s="5">
        <f>$D133*$E133*'Auction Results'!N122</f>
        <v>0</v>
      </c>
      <c r="I133" s="5">
        <f>$D133*$E133*'Auction Results'!O122</f>
        <v>0</v>
      </c>
      <c r="J133" s="5">
        <f>$D133*$E133*'Auction Results'!P122</f>
        <v>0</v>
      </c>
      <c r="K133" s="5">
        <f>$D133*$E133*'Auction Results'!Q122</f>
        <v>0</v>
      </c>
      <c r="L133" s="5">
        <f>$D133*$E133*'Auction Results'!R122</f>
        <v>0</v>
      </c>
      <c r="M133" s="5">
        <f>$D133*$E133*'Auction Results'!S122</f>
        <v>0</v>
      </c>
      <c r="N133" s="5"/>
      <c r="P133" s="48">
        <f>'Auction Results'!K122*SUM(F133:M133)</f>
        <v>0</v>
      </c>
    </row>
    <row r="134" spans="1:16" x14ac:dyDescent="0.2">
      <c r="A134" s="43">
        <v>40360</v>
      </c>
      <c r="B134" s="43">
        <f>DATE(YEAR(A134),MONTH(A134)+'Auction Results'!F123,DAY(A134))</f>
        <v>40391</v>
      </c>
      <c r="C134" s="43"/>
      <c r="D134" s="5" t="b">
        <f t="shared" si="5"/>
        <v>0</v>
      </c>
      <c r="E134" s="5" t="b">
        <f>$B$5='Auction Results'!E123</f>
        <v>1</v>
      </c>
      <c r="F134" s="5">
        <f>$D134*$E134*'Auction Results'!L123</f>
        <v>0</v>
      </c>
      <c r="G134" s="5">
        <f>$D134*$E134*'Auction Results'!M123</f>
        <v>0</v>
      </c>
      <c r="H134" s="5">
        <f>$D134*$E134*'Auction Results'!N123</f>
        <v>0</v>
      </c>
      <c r="I134" s="5">
        <f>$D134*$E134*'Auction Results'!O123</f>
        <v>0</v>
      </c>
      <c r="J134" s="5">
        <f>$D134*$E134*'Auction Results'!P123</f>
        <v>0</v>
      </c>
      <c r="K134" s="5">
        <f>$D134*$E134*'Auction Results'!Q123</f>
        <v>0</v>
      </c>
      <c r="L134" s="5">
        <f>$D134*$E134*'Auction Results'!R123</f>
        <v>0</v>
      </c>
      <c r="M134" s="5">
        <f>$D134*$E134*'Auction Results'!S123</f>
        <v>0</v>
      </c>
      <c r="N134" s="5"/>
      <c r="P134" s="48">
        <f>'Auction Results'!K123*SUM(F134:M134)</f>
        <v>0</v>
      </c>
    </row>
    <row r="135" spans="1:16" x14ac:dyDescent="0.2">
      <c r="A135" s="43">
        <v>40391</v>
      </c>
      <c r="B135" s="43">
        <f>DATE(YEAR(A135),MONTH(A135)+'Auction Results'!F124,DAY(A135))</f>
        <v>40422</v>
      </c>
      <c r="C135" s="43"/>
      <c r="D135" s="5" t="b">
        <f t="shared" si="5"/>
        <v>0</v>
      </c>
      <c r="E135" s="5" t="b">
        <f>$B$5='Auction Results'!E124</f>
        <v>0</v>
      </c>
      <c r="F135" s="5">
        <f>$D135*$E135*'Auction Results'!L124</f>
        <v>0</v>
      </c>
      <c r="G135" s="5">
        <f>$D135*$E135*'Auction Results'!M124</f>
        <v>0</v>
      </c>
      <c r="H135" s="5">
        <f>$D135*$E135*'Auction Results'!N124</f>
        <v>0</v>
      </c>
      <c r="I135" s="5">
        <f>$D135*$E135*'Auction Results'!O124</f>
        <v>0</v>
      </c>
      <c r="J135" s="5">
        <f>$D135*$E135*'Auction Results'!P124</f>
        <v>0</v>
      </c>
      <c r="K135" s="5">
        <f>$D135*$E135*'Auction Results'!Q124</f>
        <v>0</v>
      </c>
      <c r="L135" s="5">
        <f>$D135*$E135*'Auction Results'!R124</f>
        <v>0</v>
      </c>
      <c r="M135" s="5">
        <f>$D135*$E135*'Auction Results'!S124</f>
        <v>0</v>
      </c>
      <c r="N135" s="5"/>
      <c r="P135" s="48">
        <f>'Auction Results'!K124*SUM(F135:M135)</f>
        <v>0</v>
      </c>
    </row>
    <row r="136" spans="1:16" x14ac:dyDescent="0.2">
      <c r="A136" s="43">
        <v>40391</v>
      </c>
      <c r="B136" s="43">
        <f>DATE(YEAR(A136),MONTH(A136)+'Auction Results'!F125,DAY(A136))</f>
        <v>40422</v>
      </c>
      <c r="C136" s="43"/>
      <c r="D136" s="5" t="b">
        <f t="shared" si="5"/>
        <v>0</v>
      </c>
      <c r="E136" s="5" t="b">
        <f>$B$5='Auction Results'!E125</f>
        <v>1</v>
      </c>
      <c r="F136" s="5">
        <f>$D136*$E136*'Auction Results'!L125</f>
        <v>0</v>
      </c>
      <c r="G136" s="5">
        <f>$D136*$E136*'Auction Results'!M125</f>
        <v>0</v>
      </c>
      <c r="H136" s="5">
        <f>$D136*$E136*'Auction Results'!N125</f>
        <v>0</v>
      </c>
      <c r="I136" s="5">
        <f>$D136*$E136*'Auction Results'!O125</f>
        <v>0</v>
      </c>
      <c r="J136" s="5">
        <f>$D136*$E136*'Auction Results'!P125</f>
        <v>0</v>
      </c>
      <c r="K136" s="5">
        <f>$D136*$E136*'Auction Results'!Q125</f>
        <v>0</v>
      </c>
      <c r="L136" s="5">
        <f>$D136*$E136*'Auction Results'!R125</f>
        <v>0</v>
      </c>
      <c r="M136" s="5">
        <f>$D136*$E136*'Auction Results'!S125</f>
        <v>0</v>
      </c>
      <c r="N136" s="5"/>
      <c r="P136" s="48">
        <f>'Auction Results'!K125*SUM(F136:M136)</f>
        <v>0</v>
      </c>
    </row>
    <row r="137" spans="1:16" x14ac:dyDescent="0.2">
      <c r="A137" s="43">
        <v>40422</v>
      </c>
      <c r="B137" s="43">
        <f>DATE(YEAR(A137),MONTH(A137)+'Auction Results'!F126,DAY(A137))</f>
        <v>40452</v>
      </c>
      <c r="C137" s="43"/>
      <c r="D137" s="5" t="b">
        <f t="shared" si="5"/>
        <v>0</v>
      </c>
      <c r="E137" s="5" t="b">
        <f>$B$5='Auction Results'!E126</f>
        <v>1</v>
      </c>
      <c r="F137" s="5">
        <f>$D137*$E137*'Auction Results'!L126</f>
        <v>0</v>
      </c>
      <c r="G137" s="5">
        <f>$D137*$E137*'Auction Results'!M126</f>
        <v>0</v>
      </c>
      <c r="H137" s="5">
        <f>$D137*$E137*'Auction Results'!N126</f>
        <v>0</v>
      </c>
      <c r="I137" s="5">
        <f>$D137*$E137*'Auction Results'!O126</f>
        <v>0</v>
      </c>
      <c r="J137" s="5">
        <f>$D137*$E137*'Auction Results'!P126</f>
        <v>0</v>
      </c>
      <c r="K137" s="5">
        <f>$D137*$E137*'Auction Results'!Q126</f>
        <v>0</v>
      </c>
      <c r="L137" s="5">
        <f>$D137*$E137*'Auction Results'!R126</f>
        <v>0</v>
      </c>
      <c r="M137" s="5">
        <f>$D137*$E137*'Auction Results'!S126</f>
        <v>0</v>
      </c>
      <c r="N137" s="5"/>
      <c r="P137" s="48">
        <f>'Auction Results'!K126*SUM(F137:M137)</f>
        <v>0</v>
      </c>
    </row>
    <row r="138" spans="1:16" x14ac:dyDescent="0.2">
      <c r="A138" s="43">
        <v>40452</v>
      </c>
      <c r="B138" s="43">
        <f>DATE(YEAR(A138),MONTH(A138)+'Auction Results'!F127,DAY(A138))</f>
        <v>40817</v>
      </c>
      <c r="C138" s="43"/>
      <c r="D138" s="5" t="b">
        <f t="shared" si="5"/>
        <v>1</v>
      </c>
      <c r="E138" s="5" t="b">
        <f>$B$5='Auction Results'!E127</f>
        <v>1</v>
      </c>
      <c r="F138" s="5">
        <f>$D138*$E138*'Auction Results'!L127</f>
        <v>0</v>
      </c>
      <c r="G138" s="5">
        <f>$D138*$E138*'Auction Results'!M127</f>
        <v>0</v>
      </c>
      <c r="H138" s="5">
        <f>$D138*$E138*'Auction Results'!N127</f>
        <v>10</v>
      </c>
      <c r="I138" s="5">
        <f>$D138*$E138*'Auction Results'!O127</f>
        <v>0</v>
      </c>
      <c r="J138" s="5">
        <f>$D138*$E138*'Auction Results'!P127</f>
        <v>50</v>
      </c>
      <c r="K138" s="5">
        <f>$D138*$E138*'Auction Results'!Q127</f>
        <v>0</v>
      </c>
      <c r="L138" s="5">
        <f>$D138*$E138*'Auction Results'!R127</f>
        <v>0</v>
      </c>
      <c r="M138" s="5">
        <f>$D138*$E138*'Auction Results'!S127</f>
        <v>0</v>
      </c>
      <c r="N138" s="5"/>
      <c r="P138" s="48">
        <f>'Auction Results'!K127*SUM(F138:M138)</f>
        <v>231940.2</v>
      </c>
    </row>
    <row r="139" spans="1:16" x14ac:dyDescent="0.2">
      <c r="A139" s="43">
        <v>40817</v>
      </c>
      <c r="B139" s="43">
        <f>DATE(YEAR(A139),MONTH(A139)+'Auction Results'!F128,DAY(A139))</f>
        <v>41183</v>
      </c>
      <c r="C139" s="43"/>
      <c r="D139" s="5" t="b">
        <f t="shared" si="5"/>
        <v>0</v>
      </c>
      <c r="E139" s="5" t="b">
        <f>$B$5='Auction Results'!E128</f>
        <v>1</v>
      </c>
      <c r="F139" s="5">
        <f>$D139*$E139*'Auction Results'!L128</f>
        <v>0</v>
      </c>
      <c r="G139" s="5">
        <f>$D139*$E139*'Auction Results'!M128</f>
        <v>0</v>
      </c>
      <c r="H139" s="5">
        <f>$D139*$E139*'Auction Results'!N128</f>
        <v>0</v>
      </c>
      <c r="I139" s="5">
        <f>$D139*$E139*'Auction Results'!O128</f>
        <v>0</v>
      </c>
      <c r="J139" s="5">
        <f>$D139*$E139*'Auction Results'!P128</f>
        <v>0</v>
      </c>
      <c r="K139" s="5">
        <f>$D139*$E139*'Auction Results'!Q128</f>
        <v>0</v>
      </c>
      <c r="L139" s="5">
        <f>$D139*$E139*'Auction Results'!R128</f>
        <v>0</v>
      </c>
      <c r="M139" s="5">
        <f>$D139*$E139*'Auction Results'!S128</f>
        <v>0</v>
      </c>
      <c r="N139" s="5"/>
      <c r="P139" s="48">
        <f>'Auction Results'!K128*SUM(F139:M139)</f>
        <v>0</v>
      </c>
    </row>
    <row r="140" spans="1:16" x14ac:dyDescent="0.2">
      <c r="A140" s="43">
        <v>41183</v>
      </c>
      <c r="B140" s="43">
        <f>DATE(YEAR(A140),MONTH(A140)+'Auction Results'!F129,DAY(A140))</f>
        <v>41548</v>
      </c>
      <c r="C140" s="43"/>
      <c r="D140" s="5" t="b">
        <f t="shared" si="5"/>
        <v>0</v>
      </c>
      <c r="E140" s="5" t="b">
        <f>$B$5='Auction Results'!E129</f>
        <v>1</v>
      </c>
      <c r="F140" s="5">
        <f>$D140*$E140*'Auction Results'!L129</f>
        <v>0</v>
      </c>
      <c r="G140" s="5">
        <f>$D140*$E140*'Auction Results'!M129</f>
        <v>0</v>
      </c>
      <c r="H140" s="5">
        <f>$D140*$E140*'Auction Results'!N129</f>
        <v>0</v>
      </c>
      <c r="I140" s="5">
        <f>$D140*$E140*'Auction Results'!O129</f>
        <v>0</v>
      </c>
      <c r="J140" s="5">
        <f>$D140*$E140*'Auction Results'!P129</f>
        <v>0</v>
      </c>
      <c r="K140" s="5">
        <f>$D140*$E140*'Auction Results'!Q129</f>
        <v>0</v>
      </c>
      <c r="L140" s="5">
        <f>$D140*$E140*'Auction Results'!R129</f>
        <v>0</v>
      </c>
      <c r="M140" s="5">
        <f>$D140*$E140*'Auction Results'!S129</f>
        <v>0</v>
      </c>
      <c r="N140" s="5"/>
      <c r="P140" s="48">
        <f>'Auction Results'!K129*SUM(F140:M140)</f>
        <v>0</v>
      </c>
    </row>
    <row r="141" spans="1:16" x14ac:dyDescent="0.2">
      <c r="A141" s="43">
        <v>40452</v>
      </c>
      <c r="B141" s="43">
        <f>DATE(YEAR(A141),MONTH(A141)+'Auction Results'!F130,DAY(A141))</f>
        <v>40634</v>
      </c>
      <c r="C141" s="43"/>
      <c r="D141" s="5" t="b">
        <f t="shared" si="5"/>
        <v>1</v>
      </c>
      <c r="E141" s="5" t="b">
        <f>$B$5='Auction Results'!E130</f>
        <v>1</v>
      </c>
      <c r="F141" s="5">
        <f>$D141*$E141*'Auction Results'!L130</f>
        <v>0</v>
      </c>
      <c r="G141" s="5">
        <f>$D141*$E141*'Auction Results'!M130</f>
        <v>0</v>
      </c>
      <c r="H141" s="5">
        <f>$D141*$E141*'Auction Results'!N130</f>
        <v>15</v>
      </c>
      <c r="I141" s="5">
        <f>$D141*$E141*'Auction Results'!O130</f>
        <v>0</v>
      </c>
      <c r="J141" s="5">
        <f>$D141*$E141*'Auction Results'!P130</f>
        <v>0</v>
      </c>
      <c r="K141" s="5">
        <f>$D141*$E141*'Auction Results'!Q130</f>
        <v>0</v>
      </c>
      <c r="L141" s="5">
        <f>$D141*$E141*'Auction Results'!R130</f>
        <v>0</v>
      </c>
      <c r="M141" s="5">
        <f>$D141*$E141*'Auction Results'!S130</f>
        <v>0</v>
      </c>
      <c r="N141" s="5"/>
      <c r="P141" s="48">
        <f>'Auction Results'!K130*SUM(F141:M141)</f>
        <v>41775</v>
      </c>
    </row>
    <row r="142" spans="1:16" x14ac:dyDescent="0.2">
      <c r="A142" s="43">
        <v>40452</v>
      </c>
      <c r="B142" s="43">
        <f>DATE(YEAR(A142),MONTH(A142)+'Auction Results'!F131,DAY(A142))</f>
        <v>40544</v>
      </c>
      <c r="C142" s="43"/>
      <c r="D142" s="5" t="b">
        <f t="shared" si="5"/>
        <v>1</v>
      </c>
      <c r="E142" s="5" t="b">
        <f>$B$5='Auction Results'!E131</f>
        <v>1</v>
      </c>
      <c r="F142" s="5">
        <f>$D142*$E142*'Auction Results'!L131</f>
        <v>0</v>
      </c>
      <c r="G142" s="5">
        <f>$D142*$E142*'Auction Results'!M131</f>
        <v>0</v>
      </c>
      <c r="H142" s="5">
        <f>$D142*$E142*'Auction Results'!N131</f>
        <v>10</v>
      </c>
      <c r="I142" s="5">
        <f>$D142*$E142*'Auction Results'!O131</f>
        <v>0</v>
      </c>
      <c r="J142" s="5">
        <f>$D142*$E142*'Auction Results'!P131</f>
        <v>0</v>
      </c>
      <c r="K142" s="5">
        <f>$D142*$E142*'Auction Results'!Q131</f>
        <v>0</v>
      </c>
      <c r="L142" s="5">
        <f>$D142*$E142*'Auction Results'!R131</f>
        <v>0</v>
      </c>
      <c r="M142" s="5">
        <f>$D142*$E142*'Auction Results'!S131</f>
        <v>0</v>
      </c>
      <c r="N142" s="5"/>
      <c r="P142" s="48">
        <f>'Auction Results'!K131*SUM(F142:M142)</f>
        <v>36130</v>
      </c>
    </row>
    <row r="143" spans="1:16" x14ac:dyDescent="0.2">
      <c r="A143" s="43">
        <v>40452</v>
      </c>
      <c r="B143" s="43">
        <f>DATE(YEAR(A143),MONTH(A143)+'Auction Results'!F132,DAY(A143))</f>
        <v>40483</v>
      </c>
      <c r="C143" s="43"/>
      <c r="D143" s="5" t="b">
        <f t="shared" si="5"/>
        <v>0</v>
      </c>
      <c r="E143" s="5" t="b">
        <f>$B$5='Auction Results'!E132</f>
        <v>1</v>
      </c>
      <c r="F143" s="5">
        <f>$D143*$E143*'Auction Results'!L132</f>
        <v>0</v>
      </c>
      <c r="G143" s="5">
        <f>$D143*$E143*'Auction Results'!M132</f>
        <v>0</v>
      </c>
      <c r="H143" s="5">
        <f>$D143*$E143*'Auction Results'!N132</f>
        <v>0</v>
      </c>
      <c r="I143" s="5">
        <f>$D143*$E143*'Auction Results'!O132</f>
        <v>0</v>
      </c>
      <c r="J143" s="5">
        <f>$D143*$E143*'Auction Results'!P132</f>
        <v>0</v>
      </c>
      <c r="K143" s="5">
        <f>$D143*$E143*'Auction Results'!Q132</f>
        <v>0</v>
      </c>
      <c r="L143" s="5">
        <f>$D143*$E143*'Auction Results'!R132</f>
        <v>0</v>
      </c>
      <c r="M143" s="5">
        <f>$D143*$E143*'Auction Results'!S132</f>
        <v>0</v>
      </c>
      <c r="N143" s="5"/>
      <c r="P143" s="48">
        <f>'Auction Results'!K132*SUM(F143:M143)</f>
        <v>0</v>
      </c>
    </row>
    <row r="144" spans="1:16" x14ac:dyDescent="0.2">
      <c r="A144" s="43">
        <v>40483</v>
      </c>
      <c r="B144" s="43">
        <f>DATE(YEAR(A144),MONTH(A144)+'Auction Results'!F133,DAY(A144))</f>
        <v>40513</v>
      </c>
      <c r="C144" s="43"/>
      <c r="D144" s="5" t="b">
        <f t="shared" si="5"/>
        <v>1</v>
      </c>
      <c r="E144" s="5" t="b">
        <f>$B$5='Auction Results'!E133</f>
        <v>1</v>
      </c>
      <c r="F144" s="5">
        <f>$D144*$E144*'Auction Results'!L133</f>
        <v>5</v>
      </c>
      <c r="G144" s="5">
        <f>$D144*$E144*'Auction Results'!M133</f>
        <v>0</v>
      </c>
      <c r="H144" s="5">
        <f>$D144*$E144*'Auction Results'!N133</f>
        <v>25</v>
      </c>
      <c r="I144" s="5">
        <f>$D144*$E144*'Auction Results'!O133</f>
        <v>0</v>
      </c>
      <c r="J144" s="5">
        <f>$D144*$E144*'Auction Results'!P133</f>
        <v>70</v>
      </c>
      <c r="K144" s="5">
        <f>$D144*$E144*'Auction Results'!Q133</f>
        <v>0</v>
      </c>
      <c r="L144" s="5">
        <f>$D144*$E144*'Auction Results'!R133</f>
        <v>0</v>
      </c>
      <c r="M144" s="5">
        <f>$D144*$E144*'Auction Results'!S133</f>
        <v>0</v>
      </c>
      <c r="N144" s="5"/>
      <c r="P144" s="48">
        <f>'Auction Results'!K133*SUM(F144:M144)</f>
        <v>421975</v>
      </c>
    </row>
  </sheetData>
  <dataValidations count="1">
    <dataValidation type="list" allowBlank="1" showInputMessage="1" showErrorMessage="1" sqref="B5">
      <formula1>$AT$1:$AT$2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Auction Results</vt:lpstr>
      <vt:lpstr>Sheet1</vt:lpstr>
    </vt:vector>
  </TitlesOfParts>
  <Company>nieh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plarkin</dc:creator>
  <cp:lastModifiedBy>Tim Cox</cp:lastModifiedBy>
  <cp:lastPrinted>2008-06-27T14:51:50Z</cp:lastPrinted>
  <dcterms:created xsi:type="dcterms:W3CDTF">2008-06-09T12:11:45Z</dcterms:created>
  <dcterms:modified xsi:type="dcterms:W3CDTF">2018-01-19T11:49:24Z</dcterms:modified>
</cp:coreProperties>
</file>